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itechuk-my.sharepoint.com/personal/andrew_burgess_scitech_com/Documents/_Andrew/&amp;__Whitewey_Rebuild/Whitewey/Football/2026/"/>
    </mc:Choice>
  </mc:AlternateContent>
  <xr:revisionPtr revIDLastSave="229" documentId="8_{0351F383-2CF9-4262-9F5A-880EDE1545A7}" xr6:coauthVersionLast="47" xr6:coauthVersionMax="47" xr10:uidLastSave="{E81804A7-8254-4045-A4A6-69717D3B7D1E}"/>
  <bookViews>
    <workbookView xWindow="-120" yWindow="-120" windowWidth="29040" windowHeight="15720" firstSheet="2" activeTab="2" xr2:uid="{00000000-000D-0000-FFFF-FFFF00000000}"/>
  </bookViews>
  <sheets>
    <sheet name="T" sheetId="1" state="hidden" r:id="rId1"/>
    <sheet name="Settings" sheetId="2" r:id="rId2"/>
    <sheet name="2026 World Cup" sheetId="3" r:id="rId3"/>
    <sheet name="3rd places" sheetId="4" r:id="rId4"/>
  </sheets>
  <definedNames>
    <definedName name="db_fifarank">Settings!$B$19:$C$66</definedName>
    <definedName name="gmt_delta">Settings!$G$16</definedName>
    <definedName name="group_round_completed">'2026 World Cup'!$AS$92</definedName>
    <definedName name="lang">Settings!$G$15</definedName>
    <definedName name="lang_list">T!$1:$1</definedName>
    <definedName name="my_team">Settings!$I$15</definedName>
    <definedName name="T">T!$1:$1048576</definedName>
    <definedName name="teams">Settings!$I$17:$I$64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P10" i="3" l="1"/>
  <c r="BP11" i="3" s="1"/>
  <c r="CE68" i="3"/>
  <c r="AA6" i="3"/>
  <c r="CR48" i="3"/>
  <c r="CR49" i="3" s="1"/>
  <c r="CR37" i="3"/>
  <c r="CK55" i="3"/>
  <c r="CK56" i="3" s="1"/>
  <c r="CK23" i="3"/>
  <c r="CK24" i="3" s="1"/>
  <c r="CD64" i="3"/>
  <c r="CD65" i="3" s="1"/>
  <c r="CD48" i="3"/>
  <c r="CD49" i="3" s="1"/>
  <c r="CD32" i="3"/>
  <c r="CD33" i="3" s="1"/>
  <c r="CD16" i="3"/>
  <c r="CD17" i="3" s="1"/>
  <c r="BW68" i="3"/>
  <c r="BW69" i="3" s="1"/>
  <c r="BW60" i="3"/>
  <c r="BW61" i="3" s="1"/>
  <c r="BW52" i="3"/>
  <c r="BW53" i="3" s="1"/>
  <c r="BW44" i="3"/>
  <c r="BW45" i="3" s="1"/>
  <c r="BW36" i="3"/>
  <c r="BW37" i="3" s="1"/>
  <c r="BW28" i="3"/>
  <c r="BW29" i="3" s="1"/>
  <c r="BW20" i="3"/>
  <c r="BW21" i="3" s="1"/>
  <c r="BW12" i="3"/>
  <c r="BW13" i="3" s="1"/>
  <c r="BP70" i="3"/>
  <c r="BP71" i="3" s="1"/>
  <c r="BP66" i="3"/>
  <c r="BP67" i="3" s="1"/>
  <c r="BP62" i="3"/>
  <c r="BP63" i="3" s="1"/>
  <c r="BP58" i="3"/>
  <c r="BP59" i="3" s="1"/>
  <c r="BP54" i="3"/>
  <c r="BP55" i="3" s="1"/>
  <c r="BP50" i="3"/>
  <c r="BP51" i="3" s="1"/>
  <c r="BP46" i="3"/>
  <c r="BP47" i="3" s="1"/>
  <c r="BP42" i="3"/>
  <c r="BP43" i="3" s="1"/>
  <c r="BP38" i="3"/>
  <c r="BP39" i="3" s="1"/>
  <c r="BP34" i="3"/>
  <c r="BP35" i="3" s="1"/>
  <c r="BP30" i="3"/>
  <c r="BP31" i="3" s="1"/>
  <c r="BP26" i="3"/>
  <c r="BP27" i="3" s="1"/>
  <c r="BP22" i="3"/>
  <c r="BP23" i="3" s="1"/>
  <c r="BP18" i="3"/>
  <c r="BP19" i="3" s="1"/>
  <c r="BP14" i="3"/>
  <c r="BP15" i="3" s="1"/>
  <c r="X102" i="3"/>
  <c r="AB7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74" i="3"/>
  <c r="AB75" i="3"/>
  <c r="AB76" i="3"/>
  <c r="AB77" i="3"/>
  <c r="AB78" i="3"/>
  <c r="T107" i="3"/>
  <c r="J80" i="3"/>
  <c r="CR38" i="3" l="1"/>
  <c r="O3" i="3"/>
  <c r="G65" i="2"/>
  <c r="G16" i="2"/>
  <c r="CD31" i="3" s="1"/>
  <c r="G15" i="2"/>
  <c r="BW19" i="3" l="1"/>
  <c r="BW59" i="3"/>
  <c r="BP53" i="3"/>
  <c r="BP29" i="3"/>
  <c r="BP17" i="3"/>
  <c r="BP45" i="3"/>
  <c r="BP41" i="3"/>
  <c r="R53" i="3"/>
  <c r="R29" i="3"/>
  <c r="R49" i="3"/>
  <c r="R44" i="3"/>
  <c r="R20" i="3"/>
  <c r="R45" i="3"/>
  <c r="R22" i="3"/>
  <c r="R41" i="3"/>
  <c r="R16" i="3"/>
  <c r="R31" i="3"/>
  <c r="R38" i="3"/>
  <c r="R58" i="3"/>
  <c r="R57" i="3"/>
  <c r="R32" i="3"/>
  <c r="R14" i="3"/>
  <c r="AE8" i="3"/>
  <c r="AE9" i="3"/>
  <c r="AE10" i="3"/>
  <c r="AE11" i="3"/>
  <c r="AE14" i="3"/>
  <c r="AE15" i="3"/>
  <c r="AE16" i="3"/>
  <c r="AE17" i="3"/>
  <c r="AE20" i="3"/>
  <c r="AE21" i="3"/>
  <c r="AE22" i="3"/>
  <c r="AE23" i="3"/>
  <c r="AE26" i="3"/>
  <c r="AE27" i="3"/>
  <c r="AE28" i="3"/>
  <c r="AE29" i="3"/>
  <c r="AE32" i="3"/>
  <c r="AE33" i="3"/>
  <c r="AE34" i="3"/>
  <c r="AE35" i="3"/>
  <c r="AE38" i="3"/>
  <c r="AE39" i="3"/>
  <c r="AE40" i="3"/>
  <c r="AE41" i="3"/>
  <c r="AE44" i="3"/>
  <c r="AE45" i="3"/>
  <c r="AE46" i="3"/>
  <c r="AE47" i="3"/>
  <c r="AE50" i="3"/>
  <c r="AE51" i="3"/>
  <c r="AE52" i="3"/>
  <c r="AE53" i="3"/>
  <c r="AE56" i="3"/>
  <c r="AE57" i="3"/>
  <c r="AE58" i="3"/>
  <c r="AE59" i="3"/>
  <c r="AE62" i="3"/>
  <c r="AE63" i="3"/>
  <c r="AE64" i="3"/>
  <c r="AE65" i="3"/>
  <c r="AE68" i="3"/>
  <c r="AE69" i="3"/>
  <c r="AE70" i="3"/>
  <c r="AE71" i="3"/>
  <c r="AE74" i="3"/>
  <c r="AE75" i="3"/>
  <c r="AE76" i="3"/>
  <c r="AE77" i="3"/>
  <c r="R7" i="3"/>
  <c r="R8" i="3"/>
  <c r="R9" i="3"/>
  <c r="R10" i="3"/>
  <c r="R11" i="3"/>
  <c r="R12" i="3"/>
  <c r="R13" i="3"/>
  <c r="R15" i="3"/>
  <c r="R17" i="3"/>
  <c r="R18" i="3"/>
  <c r="R19" i="3"/>
  <c r="R21" i="3"/>
  <c r="R23" i="3"/>
  <c r="R24" i="3"/>
  <c r="R25" i="3"/>
  <c r="R26" i="3"/>
  <c r="R27" i="3"/>
  <c r="R28" i="3"/>
  <c r="R30" i="3"/>
  <c r="R33" i="3"/>
  <c r="R34" i="3"/>
  <c r="R35" i="3"/>
  <c r="R36" i="3"/>
  <c r="R37" i="3"/>
  <c r="R39" i="3"/>
  <c r="R40" i="3"/>
  <c r="R42" i="3"/>
  <c r="R43" i="3"/>
  <c r="R46" i="3"/>
  <c r="R47" i="3"/>
  <c r="R48" i="3"/>
  <c r="R50" i="3"/>
  <c r="R51" i="3"/>
  <c r="R52" i="3"/>
  <c r="R54" i="3"/>
  <c r="R55" i="3"/>
  <c r="R56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84" i="3"/>
  <c r="R85" i="3"/>
  <c r="R86" i="3"/>
  <c r="R87" i="3"/>
  <c r="R88" i="3"/>
  <c r="R89" i="3"/>
  <c r="R90" i="3"/>
  <c r="R91" i="3"/>
  <c r="R95" i="3"/>
  <c r="R96" i="3"/>
  <c r="R97" i="3"/>
  <c r="R98" i="3"/>
  <c r="R102" i="3"/>
  <c r="R103" i="3"/>
  <c r="R107" i="3"/>
  <c r="R111" i="3"/>
  <c r="B65" i="2"/>
  <c r="B61" i="2"/>
  <c r="B58" i="2"/>
  <c r="B52" i="2"/>
  <c r="B51" i="2"/>
  <c r="B50" i="2"/>
  <c r="BR6" i="3" a="1"/>
  <c r="BR6" i="3" s="1"/>
  <c r="BY6" i="3" a="1"/>
  <c r="BY6" i="3" s="1"/>
  <c r="CF6" i="3" a="1"/>
  <c r="CF6" i="3" s="1"/>
  <c r="CM33" i="3" a="1"/>
  <c r="CM33" i="3" s="1"/>
  <c r="X103" i="3" s="1"/>
  <c r="CM44" i="3" a="1"/>
  <c r="CM44" i="3" s="1"/>
  <c r="P8" i="3" a="1"/>
  <c r="P8" i="3" s="1"/>
  <c r="O8" i="3" a="1"/>
  <c r="O8" i="3" s="1"/>
  <c r="N8" i="3" a="1"/>
  <c r="N8" i="3" s="1"/>
  <c r="M8" i="3" a="1"/>
  <c r="M8" i="3" s="1"/>
  <c r="L8" i="3" a="1"/>
  <c r="L8" i="3" s="1"/>
  <c r="K8" i="3" a="1"/>
  <c r="K8" i="3" s="1"/>
  <c r="P14" i="3" a="1"/>
  <c r="P14" i="3" s="1"/>
  <c r="O14" i="3" a="1"/>
  <c r="O14" i="3" s="1"/>
  <c r="N14" i="3" a="1"/>
  <c r="N14" i="3" s="1"/>
  <c r="M14" i="3" a="1"/>
  <c r="M14" i="3" s="1"/>
  <c r="L14" i="3" a="1"/>
  <c r="L14" i="3" s="1"/>
  <c r="K14" i="3" a="1"/>
  <c r="K14" i="3" s="1"/>
  <c r="P20" i="3" a="1"/>
  <c r="P20" i="3" s="1"/>
  <c r="O20" i="3" a="1"/>
  <c r="O20" i="3" s="1"/>
  <c r="N20" i="3" a="1"/>
  <c r="N20" i="3" s="1"/>
  <c r="M20" i="3" a="1"/>
  <c r="M20" i="3" s="1"/>
  <c r="L20" i="3" a="1"/>
  <c r="L20" i="3" s="1"/>
  <c r="K20" i="3" a="1"/>
  <c r="K20" i="3" s="1"/>
  <c r="P26" i="3" a="1"/>
  <c r="P26" i="3" s="1"/>
  <c r="O26" i="3" a="1"/>
  <c r="O26" i="3" s="1"/>
  <c r="N26" i="3" a="1"/>
  <c r="N26" i="3" s="1"/>
  <c r="M26" i="3" a="1"/>
  <c r="M26" i="3" s="1"/>
  <c r="L26" i="3" a="1"/>
  <c r="L26" i="3" s="1"/>
  <c r="K26" i="3" a="1"/>
  <c r="K26" i="3" s="1"/>
  <c r="P32" i="3" a="1"/>
  <c r="P32" i="3" s="1"/>
  <c r="O32" i="3" a="1"/>
  <c r="O32" i="3" s="1"/>
  <c r="N32" i="3" a="1"/>
  <c r="N32" i="3" s="1"/>
  <c r="M32" i="3" a="1"/>
  <c r="M32" i="3" s="1"/>
  <c r="L32" i="3" a="1"/>
  <c r="L32" i="3" s="1"/>
  <c r="K32" i="3" a="1"/>
  <c r="K32" i="3" s="1"/>
  <c r="P38" i="3" a="1"/>
  <c r="P38" i="3" s="1"/>
  <c r="O38" i="3" a="1"/>
  <c r="O38" i="3" s="1"/>
  <c r="N38" i="3" a="1"/>
  <c r="N38" i="3" s="1"/>
  <c r="M38" i="3" a="1"/>
  <c r="M38" i="3" s="1"/>
  <c r="L38" i="3" a="1"/>
  <c r="L38" i="3" s="1"/>
  <c r="K38" i="3" a="1"/>
  <c r="K38" i="3" s="1"/>
  <c r="P44" i="3" a="1"/>
  <c r="P44" i="3" s="1"/>
  <c r="O44" i="3" a="1"/>
  <c r="O44" i="3" s="1"/>
  <c r="N44" i="3" a="1"/>
  <c r="N44" i="3" s="1"/>
  <c r="M44" i="3" a="1"/>
  <c r="M44" i="3" s="1"/>
  <c r="L44" i="3" a="1"/>
  <c r="L44" i="3" s="1"/>
  <c r="K44" i="3" a="1"/>
  <c r="K44" i="3" s="1"/>
  <c r="P50" i="3" a="1"/>
  <c r="P50" i="3" s="1"/>
  <c r="O50" i="3" a="1"/>
  <c r="O50" i="3" s="1"/>
  <c r="N50" i="3" a="1"/>
  <c r="N50" i="3" s="1"/>
  <c r="M50" i="3" a="1"/>
  <c r="M50" i="3" s="1"/>
  <c r="L50" i="3" a="1"/>
  <c r="L50" i="3" s="1"/>
  <c r="K50" i="3" a="1"/>
  <c r="K50" i="3" s="1"/>
  <c r="P56" i="3" a="1"/>
  <c r="P56" i="3" s="1"/>
  <c r="O56" i="3" a="1"/>
  <c r="O56" i="3" s="1"/>
  <c r="N56" i="3" a="1"/>
  <c r="N56" i="3" s="1"/>
  <c r="M56" i="3" a="1"/>
  <c r="M56" i="3" s="1"/>
  <c r="L56" i="3" a="1"/>
  <c r="L56" i="3" s="1"/>
  <c r="K56" i="3" a="1"/>
  <c r="K56" i="3" s="1"/>
  <c r="P62" i="3" a="1"/>
  <c r="P62" i="3" s="1"/>
  <c r="O62" i="3" a="1"/>
  <c r="O62" i="3" s="1"/>
  <c r="N62" i="3" a="1"/>
  <c r="N62" i="3" s="1"/>
  <c r="M62" i="3" a="1"/>
  <c r="M62" i="3" s="1"/>
  <c r="L62" i="3" a="1"/>
  <c r="L62" i="3" s="1"/>
  <c r="K62" i="3" a="1"/>
  <c r="K62" i="3" s="1"/>
  <c r="P68" i="3" a="1"/>
  <c r="P68" i="3" s="1"/>
  <c r="O68" i="3" a="1"/>
  <c r="O68" i="3" s="1"/>
  <c r="N68" i="3" a="1"/>
  <c r="N68" i="3" s="1"/>
  <c r="M68" i="3" a="1"/>
  <c r="M68" i="3" s="1"/>
  <c r="L68" i="3" a="1"/>
  <c r="L68" i="3" s="1"/>
  <c r="K68" i="3" a="1"/>
  <c r="K68" i="3" s="1"/>
  <c r="P74" i="3" a="1"/>
  <c r="P74" i="3" s="1"/>
  <c r="O74" i="3" a="1"/>
  <c r="O74" i="3" s="1"/>
  <c r="N74" i="3" a="1"/>
  <c r="N74" i="3" s="1"/>
  <c r="M74" i="3" a="1"/>
  <c r="M74" i="3" s="1"/>
  <c r="L74" i="3" a="1"/>
  <c r="L74" i="3" s="1"/>
  <c r="K74" i="3" a="1"/>
  <c r="K74" i="3" s="1"/>
  <c r="P80" i="3" a="1"/>
  <c r="P80" i="3" s="1"/>
  <c r="O80" i="3" a="1"/>
  <c r="O80" i="3" s="1"/>
  <c r="N80" i="3" a="1"/>
  <c r="N80" i="3" s="1"/>
  <c r="M80" i="3" a="1"/>
  <c r="M80" i="3" s="1"/>
  <c r="L80" i="3" a="1"/>
  <c r="L80" i="3" s="1"/>
  <c r="K80" i="3" a="1"/>
  <c r="K80" i="3" s="1"/>
  <c r="J74" i="3" a="1"/>
  <c r="J74" i="3" s="1"/>
  <c r="J68" i="3" a="1"/>
  <c r="J68" i="3" s="1"/>
  <c r="J62" i="3" a="1"/>
  <c r="J62" i="3" s="1"/>
  <c r="J56" i="3" a="1"/>
  <c r="J56" i="3" s="1"/>
  <c r="J50" i="3" a="1"/>
  <c r="J50" i="3" s="1"/>
  <c r="J44" i="3" a="1"/>
  <c r="J44" i="3" s="1"/>
  <c r="J38" i="3" a="1"/>
  <c r="J38" i="3" s="1"/>
  <c r="J32" i="3" a="1"/>
  <c r="J32" i="3" s="1"/>
  <c r="J26" i="3" a="1"/>
  <c r="J26" i="3" s="1"/>
  <c r="J20" i="3" a="1"/>
  <c r="J20" i="3" s="1"/>
  <c r="J14" i="3" a="1"/>
  <c r="J14" i="3" s="1"/>
  <c r="J8" i="3" a="1"/>
  <c r="J8" i="3" s="1"/>
  <c r="A5" i="3" a="1"/>
  <c r="A5" i="3" s="1"/>
  <c r="A1" i="3" a="1"/>
  <c r="A1" i="3" s="1"/>
  <c r="B60" i="2"/>
  <c r="B59" i="2"/>
  <c r="B57" i="2"/>
  <c r="B56" i="2"/>
  <c r="B55" i="2"/>
  <c r="B54" i="2"/>
  <c r="B53" i="2"/>
  <c r="B49" i="2"/>
  <c r="B48" i="2"/>
  <c r="B47" i="2"/>
  <c r="B46" i="2"/>
  <c r="B45" i="2"/>
  <c r="B44" i="2"/>
  <c r="B43" i="2"/>
  <c r="B42" i="2"/>
  <c r="B41" i="2"/>
  <c r="B40" i="2"/>
  <c r="B39" i="2"/>
  <c r="B38" i="2"/>
  <c r="B66" i="2"/>
  <c r="B64" i="2"/>
  <c r="B63" i="2"/>
  <c r="B62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CR36" i="3"/>
  <c r="CM36" i="3" s="1" a="1"/>
  <c r="CM36" i="3" s="1"/>
  <c r="CR47" i="3"/>
  <c r="CM47" i="3" s="1" a="1"/>
  <c r="CM47" i="3" s="1"/>
  <c r="CK54" i="3"/>
  <c r="CF54" i="3" s="1" a="1"/>
  <c r="CF54" i="3" s="1"/>
  <c r="CD47" i="3"/>
  <c r="BY47" i="3" s="1" a="1"/>
  <c r="BY47" i="3" s="1"/>
  <c r="CK22" i="3"/>
  <c r="CF22" i="3" s="1" a="1"/>
  <c r="CF22" i="3" s="1"/>
  <c r="CD63" i="3"/>
  <c r="BY63" i="3" s="1" a="1"/>
  <c r="BY63" i="3" s="1"/>
  <c r="BY31" i="3" a="1"/>
  <c r="BY31" i="3" s="1"/>
  <c r="BW67" i="3"/>
  <c r="BR67" i="3" s="1" a="1"/>
  <c r="BR67" i="3" s="1"/>
  <c r="CD15" i="3"/>
  <c r="BY15" i="3" s="1" a="1"/>
  <c r="BY15" i="3" s="1"/>
  <c r="BW51" i="3"/>
  <c r="BR51" i="3" s="1" a="1"/>
  <c r="BR51" i="3" s="1"/>
  <c r="BR59" i="3" a="1"/>
  <c r="BR59" i="3" s="1"/>
  <c r="BW35" i="3"/>
  <c r="BR35" i="3" s="1" a="1"/>
  <c r="BR35" i="3" s="1"/>
  <c r="BW43" i="3"/>
  <c r="BR43" i="3" s="1" a="1"/>
  <c r="BR43" i="3" s="1"/>
  <c r="BW27" i="3"/>
  <c r="BR27" i="3" s="1" a="1"/>
  <c r="BR27" i="3" s="1"/>
  <c r="BR19" i="3" a="1"/>
  <c r="BR19" i="3" s="1"/>
  <c r="BP69" i="3"/>
  <c r="BK69" i="3" s="1" a="1"/>
  <c r="BK69" i="3" s="1"/>
  <c r="BW11" i="3"/>
  <c r="BR11" i="3" s="1" a="1"/>
  <c r="BR11" i="3" s="1"/>
  <c r="BP61" i="3"/>
  <c r="BK61" i="3" s="1" a="1"/>
  <c r="BK61" i="3" s="1"/>
  <c r="BP65" i="3"/>
  <c r="BK65" i="3" s="1" a="1"/>
  <c r="BK65" i="3" s="1"/>
  <c r="BP57" i="3"/>
  <c r="BK57" i="3" s="1" a="1"/>
  <c r="BK57" i="3" s="1"/>
  <c r="BK53" i="3" a="1"/>
  <c r="BK53" i="3" s="1"/>
  <c r="BP49" i="3"/>
  <c r="BK49" i="3" s="1" a="1"/>
  <c r="BK49" i="3" s="1"/>
  <c r="BK45" i="3" a="1"/>
  <c r="BK45" i="3" s="1"/>
  <c r="BK41" i="3" a="1"/>
  <c r="BK41" i="3" s="1"/>
  <c r="BP37" i="3"/>
  <c r="BK37" i="3" s="1" a="1"/>
  <c r="BK37" i="3" s="1"/>
  <c r="BP33" i="3"/>
  <c r="BK33" i="3" s="1" a="1"/>
  <c r="BK33" i="3" s="1"/>
  <c r="BK29" i="3" a="1"/>
  <c r="BK29" i="3" s="1"/>
  <c r="BP25" i="3"/>
  <c r="BK25" i="3" s="1" a="1"/>
  <c r="BK25" i="3" s="1"/>
  <c r="BP21" i="3"/>
  <c r="BK21" i="3" s="1" a="1"/>
  <c r="BK21" i="3" s="1"/>
  <c r="BK17" i="3" a="1"/>
  <c r="BK17" i="3" s="1"/>
  <c r="BP13" i="3"/>
  <c r="BK13" i="3" s="1" a="1"/>
  <c r="BK13" i="3" s="1"/>
  <c r="BP9" i="3"/>
  <c r="BK9" i="3" s="1" a="1"/>
  <c r="BK9" i="3" s="1"/>
  <c r="I15" i="2"/>
  <c r="AA25" i="3" l="1"/>
  <c r="AA75" i="3"/>
  <c r="AA50" i="3"/>
  <c r="AA28" i="3"/>
  <c r="AA40" i="3"/>
  <c r="AA53" i="3"/>
  <c r="AA65" i="3"/>
  <c r="AA78" i="3"/>
  <c r="AA41" i="3"/>
  <c r="AA54" i="3"/>
  <c r="AA66" i="3"/>
  <c r="AA8" i="3"/>
  <c r="AA17" i="3"/>
  <c r="AA42" i="3"/>
  <c r="AA55" i="3"/>
  <c r="AA67" i="3"/>
  <c r="AA43" i="3"/>
  <c r="AA29" i="3"/>
  <c r="AA30" i="3"/>
  <c r="AA18" i="3"/>
  <c r="AA19" i="3"/>
  <c r="AA32" i="3"/>
  <c r="AA44" i="3"/>
  <c r="AA57" i="3"/>
  <c r="AA69" i="3"/>
  <c r="AA11" i="3"/>
  <c r="AA60" i="3"/>
  <c r="AA48" i="3"/>
  <c r="AA73" i="3"/>
  <c r="AA49" i="3"/>
  <c r="AA16" i="3"/>
  <c r="AA76" i="3"/>
  <c r="AA52" i="3"/>
  <c r="AA31" i="3"/>
  <c r="AA20" i="3"/>
  <c r="AA33" i="3"/>
  <c r="AA45" i="3"/>
  <c r="AA58" i="3"/>
  <c r="AA70" i="3"/>
  <c r="AA12" i="3"/>
  <c r="AA47" i="3"/>
  <c r="AA14" i="3"/>
  <c r="AA36" i="3"/>
  <c r="AA15" i="3"/>
  <c r="AA62" i="3"/>
  <c r="AA51" i="3"/>
  <c r="AA7" i="3"/>
  <c r="AA77" i="3"/>
  <c r="AA68" i="3"/>
  <c r="AA21" i="3"/>
  <c r="AA34" i="3"/>
  <c r="AA46" i="3"/>
  <c r="AA59" i="3"/>
  <c r="AA71" i="3"/>
  <c r="AA13" i="3"/>
  <c r="AA35" i="3"/>
  <c r="AA72" i="3"/>
  <c r="AA61" i="3"/>
  <c r="AA37" i="3"/>
  <c r="AA74" i="3"/>
  <c r="AA38" i="3"/>
  <c r="AA63" i="3"/>
  <c r="AA39" i="3"/>
  <c r="AA64" i="3"/>
  <c r="AA9" i="3"/>
  <c r="AA56" i="3"/>
  <c r="AA10" i="3"/>
  <c r="AA22" i="3"/>
  <c r="AA23" i="3"/>
  <c r="AA24" i="3"/>
  <c r="AA26" i="3"/>
  <c r="AA27" i="3"/>
  <c r="AA7" i="2" a="1"/>
  <c r="AA7" i="2" s="1"/>
  <c r="AQ77" i="3"/>
  <c r="AQ76" i="3"/>
  <c r="AQ75" i="3"/>
  <c r="AQ74" i="3"/>
  <c r="AQ71" i="3"/>
  <c r="AQ70" i="3"/>
  <c r="AQ69" i="3"/>
  <c r="AQ68" i="3"/>
  <c r="AQ65" i="3"/>
  <c r="AQ64" i="3"/>
  <c r="AQ63" i="3"/>
  <c r="AQ62" i="3"/>
  <c r="AQ59" i="3"/>
  <c r="AQ58" i="3"/>
  <c r="AQ57" i="3"/>
  <c r="AQ56" i="3"/>
  <c r="AQ53" i="3"/>
  <c r="AQ52" i="3"/>
  <c r="AQ51" i="3"/>
  <c r="AQ50" i="3"/>
  <c r="AQ47" i="3"/>
  <c r="AQ46" i="3"/>
  <c r="AQ45" i="3"/>
  <c r="AQ44" i="3"/>
  <c r="AQ41" i="3"/>
  <c r="AQ40" i="3"/>
  <c r="AQ39" i="3"/>
  <c r="AQ38" i="3"/>
  <c r="AQ35" i="3"/>
  <c r="AQ34" i="3"/>
  <c r="AQ33" i="3"/>
  <c r="AQ32" i="3"/>
  <c r="AQ29" i="3"/>
  <c r="AQ28" i="3"/>
  <c r="AQ27" i="3"/>
  <c r="AQ26" i="3"/>
  <c r="AQ23" i="3"/>
  <c r="AQ22" i="3"/>
  <c r="AQ21" i="3"/>
  <c r="AQ20" i="3"/>
  <c r="AQ17" i="3"/>
  <c r="AQ16" i="3"/>
  <c r="AQ15" i="3"/>
  <c r="AQ14" i="3"/>
  <c r="AQ11" i="3"/>
  <c r="AQ10" i="3"/>
  <c r="AQ9" i="3"/>
  <c r="AQ8" i="3"/>
  <c r="C7" i="3" a="1"/>
  <c r="C7" i="3" s="1"/>
  <c r="B7" i="3" a="1"/>
  <c r="B7" i="3" s="1"/>
  <c r="D8" i="3"/>
  <c r="C8" i="3" a="1"/>
  <c r="C8" i="3" s="1"/>
  <c r="B8" i="3" a="1"/>
  <c r="B8" i="3" s="1"/>
  <c r="D10" i="3"/>
  <c r="C10" i="3" a="1"/>
  <c r="C10" i="3" s="1"/>
  <c r="B10" i="3" a="1"/>
  <c r="B10" i="3" s="1"/>
  <c r="D18" i="3"/>
  <c r="C18" i="3" a="1"/>
  <c r="C18" i="3" s="1"/>
  <c r="B18" i="3" a="1"/>
  <c r="B18" i="3" s="1"/>
  <c r="D30" i="3"/>
  <c r="C30" i="3" a="1"/>
  <c r="C30" i="3" s="1"/>
  <c r="B30" i="3" a="1"/>
  <c r="B30" i="3" s="1"/>
  <c r="D54" i="3"/>
  <c r="C54" i="3" a="1"/>
  <c r="C54" i="3" s="1"/>
  <c r="B54" i="3" a="1"/>
  <c r="B54" i="3" s="1"/>
  <c r="D65" i="3"/>
  <c r="C65" i="3" a="1"/>
  <c r="C65" i="3" s="1"/>
  <c r="B65" i="3" a="1"/>
  <c r="B65" i="3" s="1"/>
  <c r="D66" i="3"/>
  <c r="C66" i="3" a="1"/>
  <c r="C66" i="3" s="1"/>
  <c r="B66" i="3" a="1"/>
  <c r="B66" i="3" s="1"/>
  <c r="D75" i="3"/>
  <c r="C75" i="3" a="1"/>
  <c r="C75" i="3" s="1"/>
  <c r="B75" i="3" a="1"/>
  <c r="B75" i="3" s="1"/>
  <c r="D76" i="3"/>
  <c r="C76" i="3" a="1"/>
  <c r="C76" i="3" s="1"/>
  <c r="B76" i="3" a="1"/>
  <c r="B76" i="3" s="1"/>
  <c r="D34" i="3"/>
  <c r="C34" i="3" a="1"/>
  <c r="C34" i="3" s="1"/>
  <c r="B34" i="3" a="1"/>
  <c r="B34" i="3" s="1"/>
  <c r="D59" i="3"/>
  <c r="C59" i="3" a="1"/>
  <c r="C59" i="3" s="1"/>
  <c r="B59" i="3" a="1"/>
  <c r="B59" i="3" s="1"/>
  <c r="D60" i="3"/>
  <c r="C60" i="3" a="1"/>
  <c r="C60" i="3" s="1"/>
  <c r="B60" i="3" a="1"/>
  <c r="B60" i="3" s="1"/>
  <c r="D42" i="3"/>
  <c r="C42" i="3" a="1"/>
  <c r="C42" i="3" s="1"/>
  <c r="B42" i="3" a="1"/>
  <c r="B42" i="3" s="1"/>
  <c r="D72" i="3"/>
  <c r="C72" i="3" a="1"/>
  <c r="C72" i="3" s="1"/>
  <c r="B72" i="3" a="1"/>
  <c r="B72" i="3" s="1"/>
  <c r="D31" i="3"/>
  <c r="C31" i="3" a="1"/>
  <c r="C31" i="3" s="1"/>
  <c r="B31" i="3" a="1"/>
  <c r="B31" i="3" s="1"/>
  <c r="D9" i="3"/>
  <c r="C9" i="3" a="1"/>
  <c r="C9" i="3" s="1"/>
  <c r="B9" i="3" a="1"/>
  <c r="B9" i="3" s="1"/>
  <c r="D13" i="3"/>
  <c r="C13" i="3" a="1"/>
  <c r="C13" i="3" s="1"/>
  <c r="B13" i="3" a="1"/>
  <c r="B13" i="3" s="1"/>
  <c r="D11" i="3"/>
  <c r="C11" i="3" a="1"/>
  <c r="C11" i="3" s="1"/>
  <c r="B11" i="3" a="1"/>
  <c r="B11" i="3" s="1"/>
  <c r="D35" i="3"/>
  <c r="C35" i="3" a="1"/>
  <c r="C35" i="3" s="1"/>
  <c r="B35" i="3" a="1"/>
  <c r="B35" i="3" s="1"/>
  <c r="D36" i="3"/>
  <c r="C36" i="3" a="1"/>
  <c r="C36" i="3" s="1"/>
  <c r="B36" i="3" a="1"/>
  <c r="B36" i="3" s="1"/>
  <c r="D55" i="3"/>
  <c r="C55" i="3" a="1"/>
  <c r="C55" i="3" s="1"/>
  <c r="B55" i="3" a="1"/>
  <c r="B55" i="3" s="1"/>
  <c r="D56" i="3"/>
  <c r="C56" i="3" a="1"/>
  <c r="C56" i="3" s="1"/>
  <c r="B56" i="3" a="1"/>
  <c r="B56" i="3" s="1"/>
  <c r="D15" i="3"/>
  <c r="C15" i="3" a="1"/>
  <c r="C15" i="3" s="1"/>
  <c r="B15" i="3" a="1"/>
  <c r="B15" i="3" s="1"/>
  <c r="D39" i="3"/>
  <c r="C39" i="3" a="1"/>
  <c r="C39" i="3" s="1"/>
  <c r="B39" i="3" a="1"/>
  <c r="B39" i="3" s="1"/>
  <c r="D61" i="3"/>
  <c r="C61" i="3" a="1"/>
  <c r="C61" i="3" s="1"/>
  <c r="B61" i="3" a="1"/>
  <c r="B61" i="3" s="1"/>
  <c r="D62" i="3"/>
  <c r="C62" i="3" a="1"/>
  <c r="C62" i="3" s="1"/>
  <c r="B62" i="3" a="1"/>
  <c r="B62" i="3" s="1"/>
  <c r="D20" i="3"/>
  <c r="C20" i="3" a="1"/>
  <c r="C20" i="3" s="1"/>
  <c r="B20" i="3" a="1"/>
  <c r="B20" i="3" s="1"/>
  <c r="D19" i="3"/>
  <c r="C19" i="3" a="1"/>
  <c r="C19" i="3" s="1"/>
  <c r="B19" i="3" a="1"/>
  <c r="B19" i="3" s="1"/>
  <c r="D43" i="3"/>
  <c r="C43" i="3" a="1"/>
  <c r="C43" i="3" s="1"/>
  <c r="B43" i="3" a="1"/>
  <c r="B43" i="3" s="1"/>
  <c r="D44" i="3"/>
  <c r="C44" i="3" a="1"/>
  <c r="C44" i="3" s="1"/>
  <c r="B44" i="3" a="1"/>
  <c r="B44" i="3" s="1"/>
  <c r="D23" i="3"/>
  <c r="C23" i="3" a="1"/>
  <c r="C23" i="3" s="1"/>
  <c r="B23" i="3" a="1"/>
  <c r="B23" i="3" s="1"/>
  <c r="D24" i="3"/>
  <c r="C24" i="3" a="1"/>
  <c r="C24" i="3" s="1"/>
  <c r="B24" i="3" a="1"/>
  <c r="B24" i="3" s="1"/>
  <c r="D48" i="3"/>
  <c r="C48" i="3" a="1"/>
  <c r="C48" i="3" s="1"/>
  <c r="B48" i="3" a="1"/>
  <c r="B48" i="3" s="1"/>
  <c r="D47" i="3"/>
  <c r="C47" i="3" a="1"/>
  <c r="C47" i="3" s="1"/>
  <c r="B47" i="3" a="1"/>
  <c r="B47" i="3" s="1"/>
  <c r="D67" i="3"/>
  <c r="C67" i="3" a="1"/>
  <c r="C67" i="3" s="1"/>
  <c r="B67" i="3" a="1"/>
  <c r="B67" i="3" s="1"/>
  <c r="D68" i="3"/>
  <c r="C68" i="3" a="1"/>
  <c r="C68" i="3" s="1"/>
  <c r="B68" i="3" a="1"/>
  <c r="B68" i="3" s="1"/>
  <c r="D77" i="3"/>
  <c r="C77" i="3" a="1"/>
  <c r="C77" i="3" s="1"/>
  <c r="B77" i="3" a="1"/>
  <c r="B77" i="3" s="1"/>
  <c r="D78" i="3"/>
  <c r="C78" i="3" a="1"/>
  <c r="C78" i="3" s="1"/>
  <c r="B78" i="3" a="1"/>
  <c r="B78" i="3" s="1"/>
  <c r="D27" i="3"/>
  <c r="C27" i="3" a="1"/>
  <c r="C27" i="3" s="1"/>
  <c r="B27" i="3" a="1"/>
  <c r="B27" i="3" s="1"/>
  <c r="D51" i="3"/>
  <c r="C51" i="3" a="1"/>
  <c r="C51" i="3" s="1"/>
  <c r="B51" i="3" a="1"/>
  <c r="B51" i="3" s="1"/>
  <c r="D52" i="3"/>
  <c r="C52" i="3" a="1"/>
  <c r="C52" i="3" s="1"/>
  <c r="B52" i="3" a="1"/>
  <c r="B52" i="3" s="1"/>
  <c r="D73" i="3"/>
  <c r="C73" i="3" a="1"/>
  <c r="C73" i="3" s="1"/>
  <c r="B73" i="3" a="1"/>
  <c r="B73" i="3" s="1"/>
  <c r="D74" i="3"/>
  <c r="C74" i="3" a="1"/>
  <c r="C74" i="3" s="1"/>
  <c r="B74" i="3" a="1"/>
  <c r="B74" i="3" s="1"/>
  <c r="D14" i="3"/>
  <c r="C14" i="3" a="1"/>
  <c r="C14" i="3" s="1"/>
  <c r="B14" i="3" a="1"/>
  <c r="B14" i="3" s="1"/>
  <c r="D32" i="3"/>
  <c r="C32" i="3" a="1"/>
  <c r="C32" i="3" s="1"/>
  <c r="B32" i="3" a="1"/>
  <c r="B32" i="3" s="1"/>
  <c r="D33" i="3"/>
  <c r="C33" i="3" a="1"/>
  <c r="C33" i="3" s="1"/>
  <c r="B33" i="3" a="1"/>
  <c r="B33" i="3" s="1"/>
  <c r="D57" i="3"/>
  <c r="C57" i="3" a="1"/>
  <c r="C57" i="3" s="1"/>
  <c r="B57" i="3" a="1"/>
  <c r="B57" i="3" s="1"/>
  <c r="D58" i="3"/>
  <c r="C58" i="3" a="1"/>
  <c r="C58" i="3" s="1"/>
  <c r="B58" i="3" a="1"/>
  <c r="B58" i="3" s="1"/>
  <c r="D12" i="3"/>
  <c r="C12" i="3" a="1"/>
  <c r="C12" i="3" s="1"/>
  <c r="B12" i="3" a="1"/>
  <c r="B12" i="3" s="1"/>
  <c r="D38" i="3"/>
  <c r="C38" i="3" a="1"/>
  <c r="C38" i="3" s="1"/>
  <c r="B38" i="3" a="1"/>
  <c r="B38" i="3" s="1"/>
  <c r="D37" i="3"/>
  <c r="C37" i="3" a="1"/>
  <c r="C37" i="3" s="1"/>
  <c r="B37" i="3" a="1"/>
  <c r="B37" i="3" s="1"/>
  <c r="D22" i="3"/>
  <c r="C22" i="3" a="1"/>
  <c r="C22" i="3" s="1"/>
  <c r="B22" i="3" a="1"/>
  <c r="B22" i="3" s="1"/>
  <c r="D21" i="3"/>
  <c r="C21" i="3" a="1"/>
  <c r="C21" i="3" s="1"/>
  <c r="B21" i="3" a="1"/>
  <c r="B21" i="3" s="1"/>
  <c r="D45" i="3"/>
  <c r="C45" i="3" a="1"/>
  <c r="C45" i="3" s="1"/>
  <c r="B45" i="3" a="1"/>
  <c r="B45" i="3" s="1"/>
  <c r="D46" i="3"/>
  <c r="C46" i="3" a="1"/>
  <c r="C46" i="3" s="1"/>
  <c r="B46" i="3" a="1"/>
  <c r="B46" i="3" s="1"/>
  <c r="D69" i="3"/>
  <c r="C69" i="3" a="1"/>
  <c r="C69" i="3" s="1"/>
  <c r="B69" i="3" a="1"/>
  <c r="B69" i="3" s="1"/>
  <c r="D70" i="3"/>
  <c r="C70" i="3" a="1"/>
  <c r="C70" i="3" s="1"/>
  <c r="B70" i="3" a="1"/>
  <c r="B70" i="3" s="1"/>
  <c r="D26" i="3"/>
  <c r="C26" i="3" a="1"/>
  <c r="C26" i="3" s="1"/>
  <c r="B26" i="3" a="1"/>
  <c r="B26" i="3" s="1"/>
  <c r="D50" i="3"/>
  <c r="C50" i="3" a="1"/>
  <c r="C50" i="3" s="1"/>
  <c r="B50" i="3" a="1"/>
  <c r="B50" i="3" s="1"/>
  <c r="D16" i="3"/>
  <c r="C16" i="3" a="1"/>
  <c r="C16" i="3" s="1"/>
  <c r="B16" i="3" a="1"/>
  <c r="B16" i="3" s="1"/>
  <c r="D40" i="3"/>
  <c r="C40" i="3" a="1"/>
  <c r="C40" i="3" s="1"/>
  <c r="B40" i="3" a="1"/>
  <c r="B40" i="3" s="1"/>
  <c r="D17" i="3"/>
  <c r="C17" i="3" a="1"/>
  <c r="C17" i="3" s="1"/>
  <c r="B17" i="3" a="1"/>
  <c r="B17" i="3" s="1"/>
  <c r="D41" i="3"/>
  <c r="C41" i="3" a="1"/>
  <c r="C41" i="3" s="1"/>
  <c r="B41" i="3" a="1"/>
  <c r="B41" i="3" s="1"/>
  <c r="D63" i="3"/>
  <c r="C63" i="3" a="1"/>
  <c r="C63" i="3" s="1"/>
  <c r="B63" i="3" a="1"/>
  <c r="B63" i="3" s="1"/>
  <c r="D64" i="3"/>
  <c r="C64" i="3" a="1"/>
  <c r="C64" i="3" s="1"/>
  <c r="B64" i="3" a="1"/>
  <c r="B64" i="3" s="1"/>
  <c r="D71" i="3"/>
  <c r="C71" i="3" a="1"/>
  <c r="C71" i="3" s="1"/>
  <c r="B71" i="3" a="1"/>
  <c r="B71" i="3" s="1"/>
  <c r="D25" i="3"/>
  <c r="C25" i="3" a="1"/>
  <c r="C25" i="3" s="1"/>
  <c r="B25" i="3" a="1"/>
  <c r="B25" i="3" s="1"/>
  <c r="D49" i="3"/>
  <c r="C49" i="3" a="1"/>
  <c r="C49" i="3" s="1"/>
  <c r="B49" i="3" a="1"/>
  <c r="B49" i="3" s="1"/>
  <c r="D29" i="3"/>
  <c r="C29" i="3" a="1"/>
  <c r="C29" i="3" s="1"/>
  <c r="B29" i="3" a="1"/>
  <c r="B29" i="3" s="1"/>
  <c r="D53" i="3"/>
  <c r="C53" i="3" a="1"/>
  <c r="C53" i="3" s="1"/>
  <c r="B53" i="3" a="1"/>
  <c r="B53" i="3" s="1"/>
  <c r="D28" i="3"/>
  <c r="C28" i="3" a="1"/>
  <c r="C28" i="3" s="1"/>
  <c r="B28" i="3" a="1"/>
  <c r="B28" i="3" s="1"/>
  <c r="E35" i="3"/>
  <c r="H36" i="3"/>
  <c r="H35" i="3"/>
  <c r="E36" i="3"/>
  <c r="H77" i="3"/>
  <c r="E53" i="3"/>
  <c r="E29" i="3"/>
  <c r="H59" i="3"/>
  <c r="E34" i="3"/>
  <c r="E7" i="3"/>
  <c r="E60" i="3"/>
  <c r="H31" i="3"/>
  <c r="H7" i="3"/>
  <c r="H57" i="3"/>
  <c r="E33" i="3"/>
  <c r="E9" i="3"/>
  <c r="H60" i="3"/>
  <c r="H34" i="3"/>
  <c r="E8" i="3"/>
  <c r="H58" i="3"/>
  <c r="H33" i="3"/>
  <c r="E14" i="3"/>
  <c r="E57" i="3"/>
  <c r="E32" i="3"/>
  <c r="H14" i="3"/>
  <c r="H55" i="3"/>
  <c r="E13" i="3"/>
  <c r="E56" i="3"/>
  <c r="H13" i="3"/>
  <c r="H56" i="3"/>
  <c r="E11" i="3"/>
  <c r="E55" i="3"/>
  <c r="H11" i="3"/>
  <c r="H65" i="3"/>
  <c r="E37" i="3"/>
  <c r="E10" i="3"/>
  <c r="E66" i="3"/>
  <c r="H38" i="3"/>
  <c r="H10" i="3"/>
  <c r="H66" i="3"/>
  <c r="H37" i="3"/>
  <c r="E65" i="3"/>
  <c r="E38" i="3"/>
  <c r="H62" i="3"/>
  <c r="E39" i="3"/>
  <c r="E16" i="3"/>
  <c r="E61" i="3"/>
  <c r="H40" i="3"/>
  <c r="H16" i="3"/>
  <c r="H61" i="3"/>
  <c r="H39" i="3"/>
  <c r="E15" i="3"/>
  <c r="E62" i="3"/>
  <c r="E40" i="3"/>
  <c r="H15" i="3"/>
  <c r="H64" i="3"/>
  <c r="E41" i="3"/>
  <c r="E17" i="3"/>
  <c r="E63" i="3"/>
  <c r="H42" i="3"/>
  <c r="H17" i="3"/>
  <c r="H63" i="3"/>
  <c r="H41" i="3"/>
  <c r="E18" i="3"/>
  <c r="E64" i="3"/>
  <c r="E42" i="3"/>
  <c r="H18" i="3"/>
  <c r="H70" i="3"/>
  <c r="E45" i="3"/>
  <c r="H69" i="3"/>
  <c r="H45" i="3"/>
  <c r="E21" i="3"/>
  <c r="E70" i="3"/>
  <c r="E46" i="3"/>
  <c r="H21" i="3"/>
  <c r="H72" i="3"/>
  <c r="E44" i="3"/>
  <c r="E20" i="3"/>
  <c r="H71" i="3"/>
  <c r="H44" i="3"/>
  <c r="E19" i="3"/>
  <c r="E72" i="3"/>
  <c r="E43" i="3"/>
  <c r="H19" i="3"/>
  <c r="H67" i="3"/>
  <c r="E48" i="3"/>
  <c r="E23" i="3"/>
  <c r="E68" i="3"/>
  <c r="H47" i="3"/>
  <c r="H23" i="3"/>
  <c r="E67" i="3"/>
  <c r="E47" i="3"/>
  <c r="H24" i="3"/>
  <c r="H76" i="3"/>
  <c r="E49" i="3"/>
  <c r="E25" i="3"/>
  <c r="E75" i="3"/>
  <c r="H50" i="3"/>
  <c r="H25" i="3"/>
  <c r="H75" i="3"/>
  <c r="H49" i="3"/>
  <c r="E26" i="3"/>
  <c r="E76" i="3"/>
  <c r="E50" i="3"/>
  <c r="H26" i="3"/>
  <c r="E78" i="3"/>
  <c r="H54" i="3"/>
  <c r="H29" i="3"/>
  <c r="H78" i="3"/>
  <c r="H53" i="3"/>
  <c r="E30" i="3"/>
  <c r="E77" i="3"/>
  <c r="E54" i="3"/>
  <c r="H30" i="3"/>
  <c r="H73" i="3"/>
  <c r="E51" i="3"/>
  <c r="E28" i="3"/>
  <c r="E74" i="3"/>
  <c r="H52" i="3"/>
  <c r="H28" i="3"/>
  <c r="H74" i="3"/>
  <c r="H51" i="3"/>
  <c r="E27" i="3"/>
  <c r="E73" i="3"/>
  <c r="E52" i="3"/>
  <c r="H27" i="3"/>
  <c r="E71" i="3"/>
  <c r="H43" i="3"/>
  <c r="H20" i="3"/>
  <c r="E59" i="3"/>
  <c r="E31" i="3"/>
  <c r="E58" i="3"/>
  <c r="H32" i="3"/>
  <c r="E69" i="3"/>
  <c r="H46" i="3"/>
  <c r="H68" i="3"/>
  <c r="H48" i="3"/>
  <c r="E24" i="3"/>
  <c r="E12" i="3"/>
  <c r="H8" i="3"/>
  <c r="H22" i="3"/>
  <c r="H12" i="3"/>
  <c r="E22" i="3"/>
  <c r="H9" i="3"/>
  <c r="D7" i="3"/>
  <c r="S12" i="3" l="1"/>
  <c r="S27" i="3"/>
  <c r="T27" i="3" s="1"/>
  <c r="S74" i="3"/>
  <c r="S28" i="3"/>
  <c r="S51" i="3"/>
  <c r="S30" i="3"/>
  <c r="T30" i="3" s="1"/>
  <c r="S78" i="3"/>
  <c r="T78" i="3" s="1"/>
  <c r="S26" i="3"/>
  <c r="T26" i="3" s="1"/>
  <c r="S75" i="3"/>
  <c r="T75" i="3" s="1"/>
  <c r="S25" i="3"/>
  <c r="T25" i="3" s="1"/>
  <c r="S49" i="3"/>
  <c r="T49" i="3" s="1"/>
  <c r="S68" i="3"/>
  <c r="T68" i="3" s="1"/>
  <c r="S23" i="3"/>
  <c r="S48" i="3"/>
  <c r="S43" i="3"/>
  <c r="S19" i="3"/>
  <c r="S20" i="3"/>
  <c r="T20" i="3" s="1"/>
  <c r="S44" i="3"/>
  <c r="T44" i="3" s="1"/>
  <c r="S46" i="3"/>
  <c r="T46" i="3" s="1"/>
  <c r="S21" i="3"/>
  <c r="T21" i="3" s="1"/>
  <c r="S45" i="3"/>
  <c r="T45" i="3" s="1"/>
  <c r="S18" i="3"/>
  <c r="T18" i="3" s="1"/>
  <c r="S63" i="3"/>
  <c r="T63" i="3" s="1"/>
  <c r="S17" i="3"/>
  <c r="T17" i="3" s="1"/>
  <c r="S41" i="3"/>
  <c r="S15" i="3"/>
  <c r="S61" i="3"/>
  <c r="S16" i="3"/>
  <c r="S39" i="3"/>
  <c r="T39" i="3" s="1"/>
  <c r="S66" i="3"/>
  <c r="T66" i="3" s="1"/>
  <c r="S10" i="3"/>
  <c r="T10" i="3" s="1"/>
  <c r="S37" i="3"/>
  <c r="T37" i="3" s="1"/>
  <c r="S11" i="3"/>
  <c r="T11" i="3" s="1"/>
  <c r="S56" i="3"/>
  <c r="T56" i="3" s="1"/>
  <c r="S13" i="3"/>
  <c r="T13" i="3" s="1"/>
  <c r="S32" i="3"/>
  <c r="T32" i="3" s="1"/>
  <c r="S14" i="3"/>
  <c r="S8" i="3"/>
  <c r="S9" i="3"/>
  <c r="S33" i="3"/>
  <c r="T33" i="3" s="1"/>
  <c r="S60" i="3"/>
  <c r="S34" i="3"/>
  <c r="T34" i="3" s="1"/>
  <c r="S29" i="3"/>
  <c r="T29" i="3" s="1"/>
  <c r="S53" i="3"/>
  <c r="T53" i="3" s="1"/>
  <c r="S35" i="3"/>
  <c r="T35" i="3" s="1"/>
  <c r="S7" i="3"/>
  <c r="T7" i="3" s="1"/>
  <c r="S22" i="3"/>
  <c r="T12" i="3"/>
  <c r="S24" i="3"/>
  <c r="S69" i="3"/>
  <c r="S58" i="3"/>
  <c r="S31" i="3"/>
  <c r="S59" i="3"/>
  <c r="S71" i="3"/>
  <c r="S52" i="3"/>
  <c r="S73" i="3"/>
  <c r="T74" i="3"/>
  <c r="T28" i="3"/>
  <c r="T51" i="3"/>
  <c r="S54" i="3"/>
  <c r="S77" i="3"/>
  <c r="S50" i="3"/>
  <c r="S76" i="3"/>
  <c r="S47" i="3"/>
  <c r="S67" i="3"/>
  <c r="T23" i="3"/>
  <c r="T48" i="3"/>
  <c r="T43" i="3"/>
  <c r="S72" i="3"/>
  <c r="T19" i="3"/>
  <c r="S70" i="3"/>
  <c r="S42" i="3"/>
  <c r="S64" i="3"/>
  <c r="T41" i="3"/>
  <c r="S40" i="3"/>
  <c r="S62" i="3"/>
  <c r="T15" i="3"/>
  <c r="T61" i="3"/>
  <c r="T16" i="3"/>
  <c r="S38" i="3"/>
  <c r="S65" i="3"/>
  <c r="S55" i="3"/>
  <c r="S57" i="3"/>
  <c r="T14" i="3"/>
  <c r="T8" i="3"/>
  <c r="T9" i="3"/>
  <c r="T60" i="3"/>
  <c r="S36" i="3"/>
  <c r="AI8" i="3"/>
  <c r="AJ8" i="3"/>
  <c r="AI9" i="3"/>
  <c r="AJ9" i="3"/>
  <c r="AI10" i="3"/>
  <c r="AJ10" i="3"/>
  <c r="AI11" i="3"/>
  <c r="AJ11" i="3"/>
  <c r="AI14" i="3"/>
  <c r="AJ14" i="3"/>
  <c r="AI15" i="3"/>
  <c r="AJ15" i="3"/>
  <c r="AI16" i="3"/>
  <c r="AJ16" i="3"/>
  <c r="AI17" i="3"/>
  <c r="AJ17" i="3"/>
  <c r="AI20" i="3"/>
  <c r="AJ20" i="3"/>
  <c r="AI21" i="3"/>
  <c r="AJ21" i="3"/>
  <c r="AI22" i="3"/>
  <c r="AJ22" i="3"/>
  <c r="AI23" i="3"/>
  <c r="AJ23" i="3"/>
  <c r="AI26" i="3"/>
  <c r="AJ26" i="3"/>
  <c r="AI27" i="3"/>
  <c r="AJ27" i="3"/>
  <c r="AI28" i="3"/>
  <c r="AJ28" i="3"/>
  <c r="AI29" i="3"/>
  <c r="AJ29" i="3"/>
  <c r="AI32" i="3"/>
  <c r="AJ32" i="3"/>
  <c r="AI33" i="3"/>
  <c r="AJ33" i="3"/>
  <c r="AI34" i="3"/>
  <c r="AJ34" i="3"/>
  <c r="AI35" i="3"/>
  <c r="AJ35" i="3"/>
  <c r="AI38" i="3"/>
  <c r="AJ38" i="3"/>
  <c r="AI39" i="3"/>
  <c r="AJ39" i="3"/>
  <c r="AI40" i="3"/>
  <c r="AJ40" i="3"/>
  <c r="AI41" i="3"/>
  <c r="AJ41" i="3"/>
  <c r="AI44" i="3"/>
  <c r="AJ44" i="3"/>
  <c r="AI45" i="3"/>
  <c r="AJ45" i="3"/>
  <c r="AI46" i="3"/>
  <c r="AJ46" i="3"/>
  <c r="AI47" i="3"/>
  <c r="AJ47" i="3"/>
  <c r="AI50" i="3"/>
  <c r="AJ50" i="3"/>
  <c r="AI51" i="3"/>
  <c r="AJ51" i="3"/>
  <c r="AI52" i="3"/>
  <c r="AJ52" i="3"/>
  <c r="AI53" i="3"/>
  <c r="AJ53" i="3"/>
  <c r="AI56" i="3"/>
  <c r="AJ56" i="3"/>
  <c r="AI57" i="3"/>
  <c r="AJ57" i="3"/>
  <c r="AI58" i="3"/>
  <c r="AJ58" i="3"/>
  <c r="AI59" i="3"/>
  <c r="AJ59" i="3"/>
  <c r="AI62" i="3"/>
  <c r="AJ62" i="3"/>
  <c r="AI63" i="3"/>
  <c r="AJ63" i="3"/>
  <c r="AI64" i="3"/>
  <c r="AJ64" i="3"/>
  <c r="AI65" i="3"/>
  <c r="AJ65" i="3"/>
  <c r="AI68" i="3"/>
  <c r="AJ68" i="3"/>
  <c r="AI69" i="3"/>
  <c r="AJ69" i="3"/>
  <c r="AI70" i="3"/>
  <c r="AJ70" i="3"/>
  <c r="AI71" i="3"/>
  <c r="AJ71" i="3"/>
  <c r="AI74" i="3"/>
  <c r="AJ74" i="3"/>
  <c r="AI75" i="3"/>
  <c r="AJ75" i="3"/>
  <c r="AI76" i="3"/>
  <c r="AJ76" i="3"/>
  <c r="AI77" i="3"/>
  <c r="AJ77" i="3"/>
  <c r="T36" i="3" l="1"/>
  <c r="T57" i="3"/>
  <c r="T55" i="3"/>
  <c r="T65" i="3"/>
  <c r="T38" i="3"/>
  <c r="T62" i="3"/>
  <c r="T40" i="3"/>
  <c r="T64" i="3"/>
  <c r="T42" i="3"/>
  <c r="T70" i="3"/>
  <c r="T72" i="3"/>
  <c r="T67" i="3"/>
  <c r="T47" i="3"/>
  <c r="T76" i="3"/>
  <c r="T50" i="3"/>
  <c r="T77" i="3"/>
  <c r="T54" i="3"/>
  <c r="T73" i="3"/>
  <c r="T52" i="3"/>
  <c r="T71" i="3"/>
  <c r="T59" i="3"/>
  <c r="T31" i="3"/>
  <c r="T58" i="3"/>
  <c r="T69" i="3"/>
  <c r="T24" i="3"/>
  <c r="T22" i="3"/>
  <c r="AL77" i="3"/>
  <c r="AL76" i="3"/>
  <c r="AL75" i="3"/>
  <c r="AL74" i="3"/>
  <c r="AI78" i="3"/>
  <c r="AL71" i="3"/>
  <c r="AL70" i="3"/>
  <c r="AL69" i="3"/>
  <c r="AL68" i="3"/>
  <c r="AI72" i="3"/>
  <c r="AL65" i="3"/>
  <c r="AL64" i="3"/>
  <c r="AL63" i="3"/>
  <c r="AL62" i="3"/>
  <c r="AI66" i="3"/>
  <c r="AL59" i="3"/>
  <c r="AL58" i="3"/>
  <c r="AL57" i="3"/>
  <c r="AL56" i="3"/>
  <c r="AI60" i="3"/>
  <c r="AL53" i="3"/>
  <c r="AL52" i="3"/>
  <c r="AL51" i="3"/>
  <c r="AL50" i="3"/>
  <c r="AI54" i="3"/>
  <c r="AL47" i="3"/>
  <c r="AL46" i="3"/>
  <c r="AL45" i="3"/>
  <c r="AL44" i="3"/>
  <c r="AI48" i="3"/>
  <c r="AL41" i="3"/>
  <c r="AL40" i="3"/>
  <c r="AL39" i="3"/>
  <c r="AL38" i="3"/>
  <c r="AI42" i="3"/>
  <c r="AL35" i="3"/>
  <c r="AL34" i="3"/>
  <c r="AL33" i="3"/>
  <c r="AL32" i="3"/>
  <c r="AI36" i="3"/>
  <c r="AL29" i="3"/>
  <c r="AL28" i="3"/>
  <c r="AL27" i="3"/>
  <c r="AL26" i="3"/>
  <c r="AI30" i="3"/>
  <c r="AL23" i="3"/>
  <c r="AL22" i="3"/>
  <c r="AL21" i="3"/>
  <c r="AL20" i="3"/>
  <c r="AI24" i="3"/>
  <c r="AL17" i="3"/>
  <c r="AL16" i="3"/>
  <c r="AL15" i="3"/>
  <c r="AL14" i="3"/>
  <c r="AI18" i="3"/>
  <c r="AL11" i="3"/>
  <c r="AL10" i="3"/>
  <c r="AL9" i="3"/>
  <c r="AL8" i="3"/>
  <c r="AI12" i="3"/>
  <c r="AF77" i="3" l="1"/>
  <c r="AG77" i="3"/>
  <c r="AH77" i="3"/>
  <c r="AF76" i="3"/>
  <c r="AG76" i="3"/>
  <c r="AH76" i="3"/>
  <c r="AF75" i="3"/>
  <c r="AG75" i="3"/>
  <c r="AH75" i="3"/>
  <c r="AF74" i="3"/>
  <c r="AG74" i="3"/>
  <c r="AH74" i="3"/>
  <c r="AF71" i="3"/>
  <c r="AG71" i="3"/>
  <c r="AH71" i="3"/>
  <c r="AF70" i="3"/>
  <c r="AG70" i="3"/>
  <c r="AH70" i="3"/>
  <c r="AF69" i="3"/>
  <c r="AG69" i="3"/>
  <c r="AH69" i="3"/>
  <c r="AF68" i="3"/>
  <c r="AG68" i="3"/>
  <c r="AH68" i="3"/>
  <c r="AF65" i="3"/>
  <c r="AG65" i="3"/>
  <c r="AH65" i="3"/>
  <c r="AF64" i="3"/>
  <c r="AG64" i="3"/>
  <c r="AH64" i="3"/>
  <c r="AF63" i="3"/>
  <c r="AG63" i="3"/>
  <c r="AH63" i="3"/>
  <c r="AF62" i="3"/>
  <c r="AG62" i="3"/>
  <c r="AH62" i="3"/>
  <c r="AF59" i="3"/>
  <c r="AG59" i="3"/>
  <c r="AH59" i="3"/>
  <c r="AF58" i="3"/>
  <c r="AG58" i="3"/>
  <c r="AH58" i="3"/>
  <c r="AF57" i="3"/>
  <c r="AG57" i="3"/>
  <c r="AH57" i="3"/>
  <c r="AF56" i="3"/>
  <c r="AG56" i="3"/>
  <c r="AH56" i="3"/>
  <c r="AF53" i="3"/>
  <c r="AG53" i="3"/>
  <c r="AH53" i="3"/>
  <c r="AF52" i="3"/>
  <c r="AG52" i="3"/>
  <c r="AH52" i="3"/>
  <c r="AF51" i="3"/>
  <c r="AG51" i="3"/>
  <c r="AH51" i="3"/>
  <c r="AF50" i="3"/>
  <c r="AG50" i="3"/>
  <c r="AH50" i="3"/>
  <c r="AF47" i="3"/>
  <c r="AG47" i="3"/>
  <c r="AH47" i="3"/>
  <c r="AF46" i="3"/>
  <c r="AG46" i="3"/>
  <c r="AH46" i="3"/>
  <c r="AF45" i="3"/>
  <c r="AG45" i="3"/>
  <c r="AH45" i="3"/>
  <c r="AF44" i="3"/>
  <c r="AG44" i="3"/>
  <c r="AH44" i="3"/>
  <c r="AF41" i="3"/>
  <c r="AG41" i="3"/>
  <c r="AH41" i="3"/>
  <c r="AF40" i="3"/>
  <c r="AG40" i="3"/>
  <c r="AH40" i="3"/>
  <c r="AF39" i="3"/>
  <c r="AG39" i="3"/>
  <c r="AH39" i="3"/>
  <c r="AF38" i="3"/>
  <c r="AG38" i="3"/>
  <c r="AH38" i="3"/>
  <c r="AF35" i="3"/>
  <c r="AG35" i="3"/>
  <c r="AH35" i="3"/>
  <c r="AF34" i="3"/>
  <c r="AG34" i="3"/>
  <c r="AH34" i="3"/>
  <c r="AF33" i="3"/>
  <c r="AG33" i="3"/>
  <c r="AH33" i="3"/>
  <c r="AF32" i="3"/>
  <c r="AG32" i="3"/>
  <c r="AH32" i="3"/>
  <c r="AF29" i="3"/>
  <c r="AG29" i="3"/>
  <c r="AH29" i="3"/>
  <c r="AF28" i="3"/>
  <c r="AG28" i="3"/>
  <c r="AH28" i="3"/>
  <c r="AF27" i="3"/>
  <c r="AG27" i="3"/>
  <c r="AH27" i="3"/>
  <c r="AF26" i="3"/>
  <c r="AG26" i="3"/>
  <c r="AH26" i="3"/>
  <c r="AF23" i="3"/>
  <c r="AG23" i="3"/>
  <c r="AH23" i="3"/>
  <c r="AF22" i="3"/>
  <c r="AG22" i="3"/>
  <c r="AH22" i="3"/>
  <c r="AF21" i="3"/>
  <c r="AG21" i="3"/>
  <c r="AH21" i="3"/>
  <c r="AF20" i="3"/>
  <c r="AG20" i="3"/>
  <c r="AH20" i="3"/>
  <c r="AF17" i="3"/>
  <c r="AG17" i="3"/>
  <c r="AH17" i="3"/>
  <c r="AF16" i="3"/>
  <c r="AG16" i="3"/>
  <c r="AH16" i="3"/>
  <c r="AF15" i="3"/>
  <c r="AG15" i="3"/>
  <c r="AH15" i="3"/>
  <c r="AF14" i="3"/>
  <c r="AG14" i="3"/>
  <c r="AH14" i="3"/>
  <c r="AF11" i="3"/>
  <c r="AG11" i="3"/>
  <c r="AH11" i="3"/>
  <c r="AF10" i="3"/>
  <c r="AG10" i="3"/>
  <c r="AH10" i="3"/>
  <c r="AF9" i="3"/>
  <c r="AG9" i="3"/>
  <c r="AH9" i="3"/>
  <c r="AF8" i="3"/>
  <c r="AG8" i="3"/>
  <c r="AH8" i="3"/>
  <c r="AL12" i="3"/>
  <c r="AM8" i="3" s="1"/>
  <c r="AL18" i="3"/>
  <c r="AM14" i="3" s="1"/>
  <c r="AL24" i="3"/>
  <c r="AM20" i="3" s="1"/>
  <c r="AL30" i="3"/>
  <c r="AM26" i="3" s="1"/>
  <c r="AL36" i="3"/>
  <c r="AM32" i="3" s="1"/>
  <c r="AL42" i="3"/>
  <c r="AM38" i="3" s="1"/>
  <c r="AL48" i="3"/>
  <c r="AM44" i="3" s="1"/>
  <c r="AL54" i="3"/>
  <c r="AM50" i="3" s="1"/>
  <c r="AL60" i="3"/>
  <c r="AM56" i="3" s="1"/>
  <c r="AL66" i="3"/>
  <c r="AM62" i="3" s="1"/>
  <c r="AL72" i="3"/>
  <c r="AM68" i="3" s="1"/>
  <c r="AL78" i="3"/>
  <c r="AM74" i="3" s="1"/>
  <c r="AM70" i="3" l="1"/>
  <c r="AM23" i="3"/>
  <c r="AH12" i="3"/>
  <c r="AM27" i="3"/>
  <c r="AM47" i="3"/>
  <c r="AM21" i="3"/>
  <c r="AM75" i="3"/>
  <c r="AM46" i="3"/>
  <c r="AM22" i="3"/>
  <c r="AM35" i="3"/>
  <c r="AM53" i="3"/>
  <c r="AM17" i="3"/>
  <c r="AM77" i="3"/>
  <c r="AM51" i="3"/>
  <c r="AM29" i="3"/>
  <c r="AM15" i="3"/>
  <c r="AH24" i="3"/>
  <c r="AH36" i="3"/>
  <c r="AH48" i="3"/>
  <c r="AH60" i="3"/>
  <c r="AH72" i="3"/>
  <c r="AM65" i="3"/>
  <c r="AM34" i="3"/>
  <c r="AG12" i="3"/>
  <c r="AG24" i="3"/>
  <c r="AM63" i="3"/>
  <c r="AM59" i="3"/>
  <c r="AM58" i="3"/>
  <c r="AM41" i="3"/>
  <c r="AM11" i="3"/>
  <c r="AM71" i="3"/>
  <c r="AM39" i="3"/>
  <c r="AM10" i="3"/>
  <c r="AM76" i="3"/>
  <c r="AM64" i="3"/>
  <c r="AM52" i="3"/>
  <c r="AM40" i="3"/>
  <c r="AM28" i="3"/>
  <c r="AM16" i="3"/>
  <c r="AG36" i="3"/>
  <c r="AG48" i="3"/>
  <c r="AG60" i="3"/>
  <c r="AG72" i="3"/>
  <c r="AH18" i="3"/>
  <c r="AH30" i="3"/>
  <c r="AH42" i="3"/>
  <c r="AH54" i="3"/>
  <c r="AH66" i="3"/>
  <c r="AH78" i="3"/>
  <c r="AG30" i="3"/>
  <c r="AG42" i="3"/>
  <c r="AG54" i="3"/>
  <c r="AG66" i="3"/>
  <c r="AG78" i="3"/>
  <c r="AM69" i="3"/>
  <c r="AM57" i="3"/>
  <c r="AM45" i="3"/>
  <c r="AM33" i="3"/>
  <c r="AM9" i="3"/>
  <c r="AG18" i="3"/>
  <c r="AN8" i="3"/>
  <c r="AF12" i="3"/>
  <c r="AN9" i="3"/>
  <c r="AN10" i="3"/>
  <c r="AN11" i="3"/>
  <c r="AN14" i="3"/>
  <c r="AF18" i="3"/>
  <c r="AN15" i="3"/>
  <c r="AN16" i="3"/>
  <c r="AN17" i="3"/>
  <c r="AN20" i="3"/>
  <c r="AF24" i="3"/>
  <c r="AN21" i="3"/>
  <c r="AN22" i="3"/>
  <c r="AN23" i="3"/>
  <c r="AN26" i="3"/>
  <c r="AF30" i="3"/>
  <c r="AN27" i="3"/>
  <c r="AN28" i="3"/>
  <c r="AN29" i="3"/>
  <c r="AN32" i="3"/>
  <c r="AF36" i="3"/>
  <c r="AN33" i="3"/>
  <c r="AN34" i="3"/>
  <c r="AN35" i="3"/>
  <c r="AN38" i="3"/>
  <c r="AF42" i="3"/>
  <c r="AN39" i="3"/>
  <c r="AN40" i="3"/>
  <c r="AN41" i="3"/>
  <c r="AN44" i="3"/>
  <c r="AF48" i="3"/>
  <c r="AN45" i="3"/>
  <c r="AN46" i="3"/>
  <c r="AN47" i="3"/>
  <c r="AN50" i="3"/>
  <c r="AF54" i="3"/>
  <c r="AN51" i="3"/>
  <c r="AN52" i="3"/>
  <c r="AN53" i="3"/>
  <c r="AN56" i="3"/>
  <c r="AF60" i="3"/>
  <c r="AN57" i="3"/>
  <c r="AN58" i="3"/>
  <c r="AN59" i="3"/>
  <c r="AN62" i="3"/>
  <c r="AF66" i="3"/>
  <c r="AN63" i="3"/>
  <c r="AN64" i="3"/>
  <c r="AN65" i="3"/>
  <c r="AN68" i="3"/>
  <c r="AF72" i="3"/>
  <c r="AN69" i="3"/>
  <c r="AN70" i="3"/>
  <c r="AN71" i="3"/>
  <c r="AN74" i="3"/>
  <c r="AF78" i="3"/>
  <c r="AN75" i="3"/>
  <c r="AN76" i="3"/>
  <c r="AN77" i="3"/>
  <c r="AM72" i="3" l="1"/>
  <c r="AM24" i="3"/>
  <c r="AM42" i="3"/>
  <c r="AM54" i="3"/>
  <c r="AM18" i="3"/>
  <c r="AM36" i="3"/>
  <c r="AM78" i="3"/>
  <c r="AM66" i="3"/>
  <c r="AM48" i="3"/>
  <c r="AM12" i="3"/>
  <c r="AM60" i="3"/>
  <c r="AM30" i="3"/>
  <c r="U73" i="3"/>
  <c r="U52" i="3"/>
  <c r="U27" i="3"/>
  <c r="U74" i="3"/>
  <c r="AN78" i="3"/>
  <c r="U28" i="3"/>
  <c r="U51" i="3"/>
  <c r="U77" i="3"/>
  <c r="U54" i="3"/>
  <c r="U30" i="3"/>
  <c r="U78" i="3"/>
  <c r="AN72" i="3"/>
  <c r="U29" i="3"/>
  <c r="U53" i="3"/>
  <c r="U76" i="3"/>
  <c r="U50" i="3"/>
  <c r="U26" i="3"/>
  <c r="U75" i="3"/>
  <c r="AN66" i="3"/>
  <c r="U25" i="3"/>
  <c r="U49" i="3"/>
  <c r="U67" i="3"/>
  <c r="U47" i="3"/>
  <c r="U24" i="3"/>
  <c r="U68" i="3"/>
  <c r="AN60" i="3"/>
  <c r="U23" i="3"/>
  <c r="U48" i="3"/>
  <c r="U43" i="3"/>
  <c r="U72" i="3"/>
  <c r="U19" i="3"/>
  <c r="U71" i="3"/>
  <c r="AN54" i="3"/>
  <c r="U20" i="3"/>
  <c r="U44" i="3"/>
  <c r="U46" i="3"/>
  <c r="U70" i="3"/>
  <c r="U21" i="3"/>
  <c r="U69" i="3"/>
  <c r="AN48" i="3"/>
  <c r="U45" i="3"/>
  <c r="U22" i="3"/>
  <c r="U64" i="3"/>
  <c r="U42" i="3"/>
  <c r="U18" i="3"/>
  <c r="U63" i="3"/>
  <c r="AN42" i="3"/>
  <c r="U17" i="3"/>
  <c r="U41" i="3"/>
  <c r="U62" i="3"/>
  <c r="U40" i="3"/>
  <c r="U15" i="3"/>
  <c r="U61" i="3"/>
  <c r="AN36" i="3"/>
  <c r="U16" i="3"/>
  <c r="U39" i="3"/>
  <c r="U65" i="3"/>
  <c r="U38" i="3"/>
  <c r="U12" i="3"/>
  <c r="U66" i="3"/>
  <c r="AN30" i="3"/>
  <c r="U10" i="3"/>
  <c r="U37" i="3"/>
  <c r="U36" i="3"/>
  <c r="U55" i="3"/>
  <c r="U11" i="3"/>
  <c r="U56" i="3"/>
  <c r="AN24" i="3"/>
  <c r="U13" i="3"/>
  <c r="U35" i="3"/>
  <c r="U32" i="3"/>
  <c r="U57" i="3"/>
  <c r="U14" i="3"/>
  <c r="U58" i="3"/>
  <c r="AN18" i="3"/>
  <c r="U9" i="3"/>
  <c r="U33" i="3"/>
  <c r="U59" i="3"/>
  <c r="U31" i="3"/>
  <c r="U8" i="3"/>
  <c r="U60" i="3"/>
  <c r="AN12" i="3"/>
  <c r="U7" i="3"/>
  <c r="U34" i="3"/>
  <c r="V34" i="3" l="1"/>
  <c r="W34" i="3"/>
  <c r="V7" i="3"/>
  <c r="W7" i="3"/>
  <c r="AT77" i="3" a="1"/>
  <c r="AT77" i="3" s="1"/>
  <c r="AU77" i="3" a="1"/>
  <c r="AU77" i="3" s="1"/>
  <c r="AT76" i="3" a="1"/>
  <c r="AT76" i="3" s="1"/>
  <c r="AU76" i="3" a="1"/>
  <c r="AU76" i="3" s="1"/>
  <c r="AT75" i="3" a="1"/>
  <c r="AT75" i="3" s="1"/>
  <c r="AU75" i="3" a="1"/>
  <c r="AU75" i="3" s="1"/>
  <c r="AT74" i="3" a="1"/>
  <c r="AT74" i="3" s="1"/>
  <c r="AU74" i="3" a="1"/>
  <c r="AU74" i="3" s="1"/>
  <c r="AT71" i="3" a="1"/>
  <c r="AT71" i="3" s="1"/>
  <c r="AU71" i="3" a="1"/>
  <c r="AU71" i="3" s="1"/>
  <c r="AT70" i="3" a="1"/>
  <c r="AT70" i="3" s="1"/>
  <c r="AU70" i="3" a="1"/>
  <c r="AU70" i="3" s="1"/>
  <c r="AT69" i="3" a="1"/>
  <c r="AT69" i="3" s="1"/>
  <c r="AU69" i="3" a="1"/>
  <c r="AU69" i="3" s="1"/>
  <c r="AT68" i="3" a="1"/>
  <c r="AT68" i="3" s="1"/>
  <c r="AU68" i="3" a="1"/>
  <c r="AU68" i="3" s="1"/>
  <c r="AT65" i="3" a="1"/>
  <c r="AT65" i="3" s="1"/>
  <c r="AU65" i="3" a="1"/>
  <c r="AU65" i="3" s="1"/>
  <c r="AT64" i="3" a="1"/>
  <c r="AT64" i="3" s="1"/>
  <c r="AU64" i="3" a="1"/>
  <c r="AU64" i="3" s="1"/>
  <c r="AT63" i="3" a="1"/>
  <c r="AT63" i="3" s="1"/>
  <c r="AU63" i="3" a="1"/>
  <c r="AU63" i="3" s="1"/>
  <c r="AT62" i="3" a="1"/>
  <c r="AT62" i="3" s="1"/>
  <c r="AU62" i="3" a="1"/>
  <c r="AU62" i="3" s="1"/>
  <c r="AT59" i="3" a="1"/>
  <c r="AT59" i="3" s="1"/>
  <c r="AU59" i="3" a="1"/>
  <c r="AU59" i="3" s="1"/>
  <c r="AT58" i="3" a="1"/>
  <c r="AT58" i="3" s="1"/>
  <c r="AU58" i="3" a="1"/>
  <c r="AU58" i="3" s="1"/>
  <c r="AT57" i="3" a="1"/>
  <c r="AT57" i="3" s="1"/>
  <c r="AU57" i="3" a="1"/>
  <c r="AU57" i="3" s="1"/>
  <c r="AT56" i="3" a="1"/>
  <c r="AT56" i="3" s="1"/>
  <c r="AU56" i="3" a="1"/>
  <c r="AU56" i="3" s="1"/>
  <c r="AT53" i="3" a="1"/>
  <c r="AT53" i="3" s="1"/>
  <c r="AU53" i="3" a="1"/>
  <c r="AU53" i="3" s="1"/>
  <c r="AT52" i="3" a="1"/>
  <c r="AT52" i="3" s="1"/>
  <c r="AU52" i="3" a="1"/>
  <c r="AU52" i="3" s="1"/>
  <c r="AT51" i="3" a="1"/>
  <c r="AT51" i="3" s="1"/>
  <c r="AU51" i="3" a="1"/>
  <c r="AU51" i="3" s="1"/>
  <c r="AT50" i="3" a="1"/>
  <c r="AT50" i="3" s="1"/>
  <c r="AU50" i="3" a="1"/>
  <c r="AU50" i="3" s="1"/>
  <c r="AT47" i="3" a="1"/>
  <c r="AT47" i="3" s="1"/>
  <c r="AU47" i="3" a="1"/>
  <c r="AU47" i="3" s="1"/>
  <c r="AT46" i="3" a="1"/>
  <c r="AT46" i="3" s="1"/>
  <c r="AU46" i="3" a="1"/>
  <c r="AU46" i="3" s="1"/>
  <c r="AT45" i="3" a="1"/>
  <c r="AT45" i="3" s="1"/>
  <c r="AU45" i="3" a="1"/>
  <c r="AU45" i="3" s="1"/>
  <c r="AT44" i="3" a="1"/>
  <c r="AT44" i="3" s="1"/>
  <c r="AU44" i="3" a="1"/>
  <c r="AU44" i="3" s="1"/>
  <c r="AT41" i="3" a="1"/>
  <c r="AT41" i="3" s="1"/>
  <c r="AU41" i="3" a="1"/>
  <c r="AU41" i="3" s="1"/>
  <c r="AT40" i="3" a="1"/>
  <c r="AT40" i="3" s="1"/>
  <c r="AU40" i="3" a="1"/>
  <c r="AU40" i="3" s="1"/>
  <c r="AT39" i="3" a="1"/>
  <c r="AT39" i="3" s="1"/>
  <c r="AU39" i="3" a="1"/>
  <c r="AU39" i="3" s="1"/>
  <c r="AT38" i="3" a="1"/>
  <c r="AT38" i="3" s="1"/>
  <c r="AU38" i="3" a="1"/>
  <c r="AU38" i="3" s="1"/>
  <c r="AT35" i="3" a="1"/>
  <c r="AT35" i="3" s="1"/>
  <c r="AU35" i="3" a="1"/>
  <c r="AU35" i="3" s="1"/>
  <c r="AT34" i="3" a="1"/>
  <c r="AT34" i="3" s="1"/>
  <c r="AU34" i="3" a="1"/>
  <c r="AU34" i="3" s="1"/>
  <c r="AT33" i="3" a="1"/>
  <c r="AT33" i="3" s="1"/>
  <c r="AU33" i="3" a="1"/>
  <c r="AU33" i="3" s="1"/>
  <c r="AT32" i="3" a="1"/>
  <c r="AT32" i="3" s="1"/>
  <c r="AU32" i="3" a="1"/>
  <c r="AU32" i="3" s="1"/>
  <c r="AT29" i="3" a="1"/>
  <c r="AT29" i="3" s="1"/>
  <c r="AU29" i="3" a="1"/>
  <c r="AU29" i="3" s="1"/>
  <c r="AT28" i="3" a="1"/>
  <c r="AT28" i="3" s="1"/>
  <c r="AU28" i="3" a="1"/>
  <c r="AU28" i="3" s="1"/>
  <c r="AT27" i="3" a="1"/>
  <c r="AT27" i="3" s="1"/>
  <c r="AU27" i="3" a="1"/>
  <c r="AU27" i="3" s="1"/>
  <c r="AT26" i="3" a="1"/>
  <c r="AT26" i="3" s="1"/>
  <c r="AU26" i="3" a="1"/>
  <c r="AU26" i="3" s="1"/>
  <c r="AT23" i="3" a="1"/>
  <c r="AT23" i="3" s="1"/>
  <c r="AU23" i="3" a="1"/>
  <c r="AU23" i="3" s="1"/>
  <c r="AT22" i="3" a="1"/>
  <c r="AT22" i="3" s="1"/>
  <c r="AU22" i="3" a="1"/>
  <c r="AU22" i="3" s="1"/>
  <c r="AT21" i="3" a="1"/>
  <c r="AT21" i="3" s="1"/>
  <c r="AU21" i="3" a="1"/>
  <c r="AU21" i="3" s="1"/>
  <c r="AT20" i="3" a="1"/>
  <c r="AT20" i="3" s="1"/>
  <c r="AU20" i="3" a="1"/>
  <c r="AU20" i="3" s="1"/>
  <c r="AT17" i="3" a="1"/>
  <c r="AT17" i="3" s="1"/>
  <c r="AU17" i="3" a="1"/>
  <c r="AU17" i="3" s="1"/>
  <c r="AT16" i="3" a="1"/>
  <c r="AT16" i="3" s="1"/>
  <c r="AU16" i="3" a="1"/>
  <c r="AU16" i="3" s="1"/>
  <c r="AT15" i="3" a="1"/>
  <c r="AT15" i="3" s="1"/>
  <c r="AU15" i="3" a="1"/>
  <c r="AU15" i="3" s="1"/>
  <c r="AT14" i="3" a="1"/>
  <c r="AT14" i="3" s="1"/>
  <c r="AU14" i="3" a="1"/>
  <c r="AU14" i="3" s="1"/>
  <c r="AT11" i="3" a="1"/>
  <c r="AT11" i="3" s="1"/>
  <c r="AU11" i="3" a="1"/>
  <c r="AU11" i="3" s="1"/>
  <c r="AT10" i="3" a="1"/>
  <c r="AT10" i="3" s="1"/>
  <c r="AU10" i="3" a="1"/>
  <c r="AU10" i="3" s="1"/>
  <c r="AT9" i="3" a="1"/>
  <c r="AT9" i="3" s="1"/>
  <c r="AU9" i="3" a="1"/>
  <c r="AU9" i="3" s="1"/>
  <c r="AT8" i="3" a="1"/>
  <c r="AT8" i="3" s="1"/>
  <c r="AU8" i="3" a="1"/>
  <c r="AU8" i="3" s="1"/>
  <c r="AV8" i="3" a="1"/>
  <c r="AV8" i="3" s="1"/>
  <c r="AW8" i="3" a="1"/>
  <c r="AW8" i="3" s="1"/>
  <c r="AV9" i="3" a="1"/>
  <c r="AV9" i="3" s="1"/>
  <c r="AW9" i="3" a="1"/>
  <c r="AW9" i="3" s="1"/>
  <c r="AV10" i="3" a="1"/>
  <c r="AV10" i="3" s="1"/>
  <c r="AW10" i="3" a="1"/>
  <c r="AW10" i="3" s="1"/>
  <c r="AV11" i="3" a="1"/>
  <c r="AV11" i="3" s="1"/>
  <c r="AW11" i="3" a="1"/>
  <c r="AW11" i="3" s="1"/>
  <c r="AV14" i="3" a="1"/>
  <c r="AV14" i="3" s="1"/>
  <c r="AW14" i="3" a="1"/>
  <c r="AW14" i="3" s="1"/>
  <c r="AV15" i="3" a="1"/>
  <c r="AV15" i="3" s="1"/>
  <c r="AW15" i="3" a="1"/>
  <c r="AW15" i="3" s="1"/>
  <c r="AV16" i="3" a="1"/>
  <c r="AV16" i="3" s="1"/>
  <c r="AW16" i="3" a="1"/>
  <c r="AW16" i="3" s="1"/>
  <c r="AV17" i="3" a="1"/>
  <c r="AV17" i="3" s="1"/>
  <c r="AW17" i="3" a="1"/>
  <c r="AW17" i="3" s="1"/>
  <c r="AV20" i="3" a="1"/>
  <c r="AV20" i="3" s="1"/>
  <c r="AW20" i="3" a="1"/>
  <c r="AW20" i="3" s="1"/>
  <c r="AV21" i="3" a="1"/>
  <c r="AV21" i="3" s="1"/>
  <c r="AW21" i="3" a="1"/>
  <c r="AW21" i="3" s="1"/>
  <c r="AV22" i="3" a="1"/>
  <c r="AV22" i="3" s="1"/>
  <c r="AW22" i="3" a="1"/>
  <c r="AW22" i="3" s="1"/>
  <c r="AV23" i="3" a="1"/>
  <c r="AV23" i="3" s="1"/>
  <c r="AW23" i="3" a="1"/>
  <c r="AW23" i="3" s="1"/>
  <c r="AV26" i="3" a="1"/>
  <c r="AV26" i="3" s="1"/>
  <c r="AW26" i="3" a="1"/>
  <c r="AW26" i="3" s="1"/>
  <c r="AV27" i="3" a="1"/>
  <c r="AV27" i="3" s="1"/>
  <c r="AW27" i="3" a="1"/>
  <c r="AW27" i="3" s="1"/>
  <c r="AV28" i="3" a="1"/>
  <c r="AV28" i="3" s="1"/>
  <c r="AW28" i="3" a="1"/>
  <c r="AW28" i="3" s="1"/>
  <c r="AV29" i="3" a="1"/>
  <c r="AV29" i="3" s="1"/>
  <c r="AW29" i="3" a="1"/>
  <c r="AW29" i="3" s="1"/>
  <c r="AV32" i="3" a="1"/>
  <c r="AV32" i="3" s="1"/>
  <c r="AW32" i="3" a="1"/>
  <c r="AW32" i="3" s="1"/>
  <c r="AV33" i="3" a="1"/>
  <c r="AV33" i="3" s="1"/>
  <c r="AW33" i="3" a="1"/>
  <c r="AW33" i="3" s="1"/>
  <c r="AV34" i="3" a="1"/>
  <c r="AV34" i="3" s="1"/>
  <c r="AW34" i="3" a="1"/>
  <c r="AW34" i="3" s="1"/>
  <c r="AV35" i="3" a="1"/>
  <c r="AV35" i="3" s="1"/>
  <c r="AW35" i="3" a="1"/>
  <c r="AW35" i="3" s="1"/>
  <c r="AV38" i="3" a="1"/>
  <c r="AV38" i="3" s="1"/>
  <c r="AW38" i="3" a="1"/>
  <c r="AW38" i="3" s="1"/>
  <c r="AV39" i="3" a="1"/>
  <c r="AV39" i="3" s="1"/>
  <c r="AW39" i="3" a="1"/>
  <c r="AW39" i="3" s="1"/>
  <c r="AV40" i="3" a="1"/>
  <c r="AV40" i="3" s="1"/>
  <c r="AW40" i="3" a="1"/>
  <c r="AW40" i="3" s="1"/>
  <c r="AV41" i="3" a="1"/>
  <c r="AV41" i="3" s="1"/>
  <c r="AW41" i="3" a="1"/>
  <c r="AW41" i="3" s="1"/>
  <c r="AV44" i="3" a="1"/>
  <c r="AV44" i="3" s="1"/>
  <c r="AW44" i="3" a="1"/>
  <c r="AW44" i="3" s="1"/>
  <c r="AV45" i="3" a="1"/>
  <c r="AV45" i="3" s="1"/>
  <c r="AW45" i="3" a="1"/>
  <c r="AW45" i="3" s="1"/>
  <c r="AV46" i="3" a="1"/>
  <c r="AV46" i="3" s="1"/>
  <c r="AW46" i="3" a="1"/>
  <c r="AW46" i="3" s="1"/>
  <c r="AV47" i="3" a="1"/>
  <c r="AV47" i="3" s="1"/>
  <c r="AW47" i="3" a="1"/>
  <c r="AW47" i="3" s="1"/>
  <c r="AV50" i="3" a="1"/>
  <c r="AV50" i="3" s="1"/>
  <c r="AW50" i="3" a="1"/>
  <c r="AW50" i="3" s="1"/>
  <c r="AV51" i="3" a="1"/>
  <c r="AV51" i="3" s="1"/>
  <c r="AW51" i="3" a="1"/>
  <c r="AW51" i="3" s="1"/>
  <c r="AV52" i="3" a="1"/>
  <c r="AV52" i="3" s="1"/>
  <c r="AW52" i="3" a="1"/>
  <c r="AW52" i="3" s="1"/>
  <c r="AV53" i="3" a="1"/>
  <c r="AV53" i="3" s="1"/>
  <c r="AW53" i="3" a="1"/>
  <c r="AW53" i="3" s="1"/>
  <c r="AV56" i="3" a="1"/>
  <c r="AV56" i="3" s="1"/>
  <c r="AW56" i="3" a="1"/>
  <c r="AW56" i="3" s="1"/>
  <c r="AV57" i="3" a="1"/>
  <c r="AV57" i="3" s="1"/>
  <c r="AW57" i="3" a="1"/>
  <c r="AW57" i="3" s="1"/>
  <c r="AV58" i="3" a="1"/>
  <c r="AV58" i="3" s="1"/>
  <c r="AW58" i="3" a="1"/>
  <c r="AW58" i="3" s="1"/>
  <c r="AV59" i="3" a="1"/>
  <c r="AV59" i="3" s="1"/>
  <c r="AW59" i="3" a="1"/>
  <c r="AW59" i="3" s="1"/>
  <c r="AV62" i="3" a="1"/>
  <c r="AV62" i="3" s="1"/>
  <c r="AW62" i="3" a="1"/>
  <c r="AW62" i="3" s="1"/>
  <c r="AV63" i="3" a="1"/>
  <c r="AV63" i="3" s="1"/>
  <c r="AW63" i="3" a="1"/>
  <c r="AW63" i="3" s="1"/>
  <c r="AV64" i="3" a="1"/>
  <c r="AV64" i="3" s="1"/>
  <c r="AW64" i="3" a="1"/>
  <c r="AW64" i="3" s="1"/>
  <c r="AV65" i="3" a="1"/>
  <c r="AV65" i="3" s="1"/>
  <c r="AW65" i="3" a="1"/>
  <c r="AW65" i="3" s="1"/>
  <c r="AV68" i="3" a="1"/>
  <c r="AV68" i="3" s="1"/>
  <c r="AW68" i="3" a="1"/>
  <c r="AW68" i="3" s="1"/>
  <c r="AV69" i="3" a="1"/>
  <c r="AV69" i="3" s="1"/>
  <c r="AW69" i="3" a="1"/>
  <c r="AW69" i="3" s="1"/>
  <c r="AV70" i="3" a="1"/>
  <c r="AV70" i="3" s="1"/>
  <c r="AW70" i="3" a="1"/>
  <c r="AW70" i="3" s="1"/>
  <c r="AV71" i="3" a="1"/>
  <c r="AV71" i="3" s="1"/>
  <c r="AW71" i="3" a="1"/>
  <c r="AW71" i="3" s="1"/>
  <c r="AV74" i="3" a="1"/>
  <c r="AV74" i="3" s="1"/>
  <c r="AW74" i="3" a="1"/>
  <c r="AW74" i="3" s="1"/>
  <c r="AV75" i="3" a="1"/>
  <c r="AV75" i="3" s="1"/>
  <c r="AW75" i="3" a="1"/>
  <c r="AW75" i="3" s="1"/>
  <c r="AV76" i="3" a="1"/>
  <c r="AV76" i="3" s="1"/>
  <c r="AW76" i="3" a="1"/>
  <c r="AW76" i="3" s="1"/>
  <c r="AV77" i="3" a="1"/>
  <c r="AV77" i="3" s="1"/>
  <c r="AW77" i="3" a="1"/>
  <c r="AW77" i="3" s="1"/>
  <c r="V60" i="3"/>
  <c r="W60" i="3"/>
  <c r="V8" i="3"/>
  <c r="W8" i="3"/>
  <c r="V31" i="3"/>
  <c r="W31" i="3"/>
  <c r="V59" i="3"/>
  <c r="W59" i="3"/>
  <c r="V33" i="3"/>
  <c r="W33" i="3"/>
  <c r="V9" i="3"/>
  <c r="W9" i="3"/>
  <c r="V58" i="3"/>
  <c r="W58" i="3"/>
  <c r="V14" i="3"/>
  <c r="W14" i="3"/>
  <c r="V57" i="3"/>
  <c r="W57" i="3"/>
  <c r="V32" i="3"/>
  <c r="W32" i="3"/>
  <c r="V35" i="3"/>
  <c r="W35" i="3"/>
  <c r="V13" i="3"/>
  <c r="W13" i="3"/>
  <c r="V56" i="3"/>
  <c r="W56" i="3"/>
  <c r="V11" i="3"/>
  <c r="W11" i="3"/>
  <c r="V55" i="3"/>
  <c r="W55" i="3"/>
  <c r="V36" i="3"/>
  <c r="W36" i="3"/>
  <c r="V37" i="3"/>
  <c r="W37" i="3"/>
  <c r="V10" i="3"/>
  <c r="W10" i="3"/>
  <c r="V66" i="3"/>
  <c r="W66" i="3"/>
  <c r="V12" i="3"/>
  <c r="W12" i="3"/>
  <c r="V38" i="3"/>
  <c r="W38" i="3"/>
  <c r="V65" i="3"/>
  <c r="W65" i="3"/>
  <c r="V39" i="3"/>
  <c r="W39" i="3"/>
  <c r="V16" i="3"/>
  <c r="W16" i="3"/>
  <c r="V61" i="3"/>
  <c r="W61" i="3"/>
  <c r="V15" i="3"/>
  <c r="W15" i="3"/>
  <c r="V40" i="3"/>
  <c r="W40" i="3"/>
  <c r="V62" i="3"/>
  <c r="W62" i="3"/>
  <c r="V41" i="3"/>
  <c r="W41" i="3"/>
  <c r="V17" i="3"/>
  <c r="W17" i="3"/>
  <c r="V63" i="3"/>
  <c r="W63" i="3"/>
  <c r="V18" i="3"/>
  <c r="W18" i="3"/>
  <c r="V42" i="3"/>
  <c r="W42" i="3"/>
  <c r="V64" i="3"/>
  <c r="W64" i="3"/>
  <c r="V22" i="3"/>
  <c r="W22" i="3"/>
  <c r="V45" i="3"/>
  <c r="W45" i="3"/>
  <c r="V69" i="3"/>
  <c r="W69" i="3"/>
  <c r="V21" i="3"/>
  <c r="W21" i="3"/>
  <c r="V70" i="3"/>
  <c r="W70" i="3"/>
  <c r="V46" i="3"/>
  <c r="W46" i="3"/>
  <c r="V44" i="3"/>
  <c r="W44" i="3"/>
  <c r="V20" i="3"/>
  <c r="W20" i="3"/>
  <c r="V71" i="3"/>
  <c r="W71" i="3"/>
  <c r="V19" i="3"/>
  <c r="W19" i="3"/>
  <c r="V72" i="3"/>
  <c r="W72" i="3"/>
  <c r="V43" i="3"/>
  <c r="W43" i="3"/>
  <c r="V48" i="3"/>
  <c r="W48" i="3"/>
  <c r="V23" i="3"/>
  <c r="W23" i="3"/>
  <c r="V68" i="3"/>
  <c r="W68" i="3"/>
  <c r="V24" i="3"/>
  <c r="W24" i="3"/>
  <c r="V47" i="3"/>
  <c r="W47" i="3"/>
  <c r="V67" i="3"/>
  <c r="W67" i="3"/>
  <c r="V49" i="3"/>
  <c r="W49" i="3"/>
  <c r="V25" i="3"/>
  <c r="W25" i="3"/>
  <c r="V75" i="3"/>
  <c r="W75" i="3"/>
  <c r="V26" i="3"/>
  <c r="W26" i="3"/>
  <c r="V50" i="3"/>
  <c r="W50" i="3"/>
  <c r="V76" i="3"/>
  <c r="W76" i="3"/>
  <c r="V53" i="3"/>
  <c r="W53" i="3"/>
  <c r="V29" i="3"/>
  <c r="W29" i="3"/>
  <c r="V78" i="3"/>
  <c r="W78" i="3"/>
  <c r="V30" i="3"/>
  <c r="W30" i="3"/>
  <c r="V54" i="3"/>
  <c r="W54" i="3"/>
  <c r="V77" i="3"/>
  <c r="W77" i="3"/>
  <c r="V51" i="3"/>
  <c r="W51" i="3"/>
  <c r="V28" i="3"/>
  <c r="W28" i="3"/>
  <c r="V74" i="3"/>
  <c r="W74" i="3"/>
  <c r="V27" i="3"/>
  <c r="W27" i="3"/>
  <c r="V52" i="3"/>
  <c r="W52" i="3"/>
  <c r="V73" i="3"/>
  <c r="W73" i="3"/>
  <c r="AU12" i="3" l="1"/>
  <c r="AU18" i="3"/>
  <c r="AU24" i="3"/>
  <c r="AU30" i="3"/>
  <c r="AU36" i="3"/>
  <c r="AU42" i="3"/>
  <c r="AU48" i="3"/>
  <c r="AU54" i="3"/>
  <c r="AU60" i="3"/>
  <c r="AU66" i="3"/>
  <c r="AU72" i="3"/>
  <c r="AU78" i="3"/>
  <c r="AX77" i="3"/>
  <c r="AX76" i="3"/>
  <c r="AX75" i="3"/>
  <c r="AW78" i="3"/>
  <c r="AX74" i="3"/>
  <c r="AV78" i="3"/>
  <c r="AX71" i="3"/>
  <c r="AX70" i="3"/>
  <c r="AX69" i="3"/>
  <c r="AW72" i="3"/>
  <c r="AX68" i="3"/>
  <c r="AV72" i="3"/>
  <c r="AX65" i="3"/>
  <c r="AX64" i="3"/>
  <c r="AX63" i="3"/>
  <c r="AW66" i="3"/>
  <c r="AX62" i="3"/>
  <c r="AV66" i="3"/>
  <c r="AX59" i="3"/>
  <c r="AX58" i="3"/>
  <c r="AX57" i="3"/>
  <c r="AW60" i="3"/>
  <c r="AX56" i="3"/>
  <c r="AV60" i="3"/>
  <c r="AX53" i="3"/>
  <c r="AX52" i="3"/>
  <c r="AX51" i="3"/>
  <c r="AW54" i="3"/>
  <c r="AX50" i="3"/>
  <c r="AV54" i="3"/>
  <c r="AX47" i="3"/>
  <c r="AX46" i="3"/>
  <c r="AX45" i="3"/>
  <c r="AW48" i="3"/>
  <c r="AX44" i="3"/>
  <c r="AV48" i="3"/>
  <c r="AX41" i="3"/>
  <c r="AX40" i="3"/>
  <c r="AX39" i="3"/>
  <c r="AW42" i="3"/>
  <c r="AX38" i="3"/>
  <c r="AV42" i="3"/>
  <c r="AX35" i="3"/>
  <c r="AX34" i="3"/>
  <c r="AX33" i="3"/>
  <c r="AW36" i="3"/>
  <c r="AX32" i="3"/>
  <c r="AV36" i="3"/>
  <c r="AX29" i="3"/>
  <c r="AX28" i="3"/>
  <c r="AX27" i="3"/>
  <c r="AW30" i="3"/>
  <c r="AX26" i="3"/>
  <c r="AV30" i="3"/>
  <c r="AX23" i="3"/>
  <c r="AX22" i="3"/>
  <c r="AX21" i="3"/>
  <c r="AW24" i="3"/>
  <c r="AX20" i="3"/>
  <c r="AV24" i="3"/>
  <c r="AX17" i="3"/>
  <c r="AX16" i="3"/>
  <c r="AX15" i="3"/>
  <c r="AW18" i="3"/>
  <c r="AX14" i="3"/>
  <c r="AV18" i="3"/>
  <c r="AX11" i="3"/>
  <c r="AX10" i="3"/>
  <c r="AX9" i="3"/>
  <c r="AW12" i="3"/>
  <c r="AX8" i="3"/>
  <c r="AV12" i="3"/>
  <c r="AT12" i="3"/>
  <c r="AT18" i="3"/>
  <c r="AT24" i="3"/>
  <c r="AT30" i="3"/>
  <c r="AT36" i="3"/>
  <c r="AT42" i="3"/>
  <c r="AT48" i="3"/>
  <c r="AT54" i="3"/>
  <c r="AT60" i="3"/>
  <c r="AT66" i="3"/>
  <c r="AT72" i="3"/>
  <c r="AT78" i="3"/>
  <c r="AY14" i="3" l="1"/>
  <c r="AY38" i="3"/>
  <c r="AY20" i="3"/>
  <c r="AY44" i="3"/>
  <c r="AY68" i="3"/>
  <c r="AY62" i="3"/>
  <c r="AY8" i="3"/>
  <c r="AY32" i="3"/>
  <c r="AY56" i="3"/>
  <c r="AY26" i="3"/>
  <c r="AY50" i="3"/>
  <c r="AY74" i="3"/>
  <c r="AY9" i="3"/>
  <c r="AY10" i="3"/>
  <c r="AY11" i="3"/>
  <c r="AY15" i="3"/>
  <c r="AY16" i="3"/>
  <c r="AY17" i="3"/>
  <c r="AY21" i="3"/>
  <c r="AY22" i="3"/>
  <c r="AY23" i="3"/>
  <c r="AY27" i="3"/>
  <c r="AY28" i="3"/>
  <c r="AY29" i="3"/>
  <c r="AY33" i="3"/>
  <c r="AY34" i="3"/>
  <c r="AY35" i="3"/>
  <c r="AY39" i="3"/>
  <c r="AY40" i="3"/>
  <c r="AY41" i="3"/>
  <c r="AY45" i="3"/>
  <c r="AY46" i="3"/>
  <c r="AY47" i="3"/>
  <c r="AY51" i="3"/>
  <c r="AY52" i="3"/>
  <c r="AY53" i="3"/>
  <c r="AY57" i="3"/>
  <c r="AY58" i="3"/>
  <c r="AY59" i="3"/>
  <c r="AY63" i="3"/>
  <c r="AY64" i="3"/>
  <c r="AY65" i="3"/>
  <c r="AY69" i="3"/>
  <c r="AY70" i="3"/>
  <c r="AY71" i="3"/>
  <c r="AY75" i="3"/>
  <c r="AY76" i="3"/>
  <c r="AY77" i="3"/>
  <c r="AY78" i="3" l="1"/>
  <c r="AY72" i="3"/>
  <c r="AY66" i="3"/>
  <c r="AY60" i="3"/>
  <c r="AY54" i="3"/>
  <c r="AY48" i="3"/>
  <c r="AY42" i="3"/>
  <c r="AY36" i="3"/>
  <c r="AY30" i="3"/>
  <c r="AY24" i="3"/>
  <c r="AY18" i="3"/>
  <c r="AY12" i="3"/>
  <c r="AZ8" i="3" l="1"/>
  <c r="AZ11" i="3"/>
  <c r="AZ10" i="3"/>
  <c r="AZ9" i="3"/>
  <c r="AZ14" i="3"/>
  <c r="AZ17" i="3"/>
  <c r="AZ16" i="3"/>
  <c r="AZ15" i="3"/>
  <c r="AZ20" i="3"/>
  <c r="AZ23" i="3"/>
  <c r="AZ22" i="3"/>
  <c r="AZ21" i="3"/>
  <c r="AZ26" i="3"/>
  <c r="AZ29" i="3"/>
  <c r="AZ28" i="3"/>
  <c r="AZ27" i="3"/>
  <c r="AZ32" i="3"/>
  <c r="AZ35" i="3"/>
  <c r="AZ34" i="3"/>
  <c r="AZ33" i="3"/>
  <c r="AZ38" i="3"/>
  <c r="AZ41" i="3"/>
  <c r="AZ40" i="3"/>
  <c r="AZ39" i="3"/>
  <c r="AZ44" i="3"/>
  <c r="AZ47" i="3"/>
  <c r="AZ46" i="3"/>
  <c r="AZ45" i="3"/>
  <c r="AZ50" i="3"/>
  <c r="AZ53" i="3"/>
  <c r="AZ52" i="3"/>
  <c r="AZ51" i="3"/>
  <c r="AZ56" i="3"/>
  <c r="AZ59" i="3"/>
  <c r="AZ58" i="3"/>
  <c r="AZ57" i="3"/>
  <c r="AZ62" i="3"/>
  <c r="AZ65" i="3"/>
  <c r="AZ64" i="3"/>
  <c r="AZ63" i="3"/>
  <c r="AZ68" i="3"/>
  <c r="AZ71" i="3"/>
  <c r="AZ70" i="3"/>
  <c r="AZ69" i="3"/>
  <c r="AZ74" i="3"/>
  <c r="AZ77" i="3"/>
  <c r="AZ76" i="3"/>
  <c r="AZ75" i="3"/>
  <c r="AZ78" i="3" l="1"/>
  <c r="BA74" i="3" s="1"/>
  <c r="AO74" i="3" s="1"/>
  <c r="AZ72" i="3"/>
  <c r="BA68" i="3" s="1"/>
  <c r="AO68" i="3" s="1"/>
  <c r="AZ66" i="3"/>
  <c r="BA62" i="3" s="1"/>
  <c r="AO62" i="3" s="1"/>
  <c r="AZ60" i="3"/>
  <c r="BA56" i="3" s="1"/>
  <c r="AO56" i="3" s="1"/>
  <c r="AZ54" i="3"/>
  <c r="BA50" i="3" s="1"/>
  <c r="AO50" i="3" s="1"/>
  <c r="AZ48" i="3"/>
  <c r="BA44" i="3" s="1"/>
  <c r="AO44" i="3" s="1"/>
  <c r="AZ42" i="3"/>
  <c r="BA38" i="3" s="1"/>
  <c r="AO38" i="3" s="1"/>
  <c r="AZ36" i="3"/>
  <c r="BA32" i="3" s="1"/>
  <c r="AO32" i="3" s="1"/>
  <c r="AZ30" i="3"/>
  <c r="BA26" i="3" s="1"/>
  <c r="AO26" i="3" s="1"/>
  <c r="AZ24" i="3"/>
  <c r="BA20" i="3" s="1"/>
  <c r="AO20" i="3" s="1"/>
  <c r="AZ18" i="3"/>
  <c r="BA14" i="3" s="1"/>
  <c r="AO14" i="3" s="1"/>
  <c r="AZ12" i="3"/>
  <c r="BA8" i="3" s="1"/>
  <c r="AO8" i="3" s="1"/>
  <c r="BA9" i="3" l="1"/>
  <c r="AO9" i="3" s="1"/>
  <c r="BA10" i="3"/>
  <c r="AO10" i="3" s="1"/>
  <c r="BA11" i="3"/>
  <c r="AO11" i="3" s="1"/>
  <c r="BA15" i="3"/>
  <c r="AO15" i="3" s="1"/>
  <c r="BA16" i="3"/>
  <c r="AO16" i="3" s="1"/>
  <c r="BA17" i="3"/>
  <c r="AO17" i="3" s="1"/>
  <c r="BA21" i="3"/>
  <c r="AO21" i="3" s="1"/>
  <c r="BA22" i="3"/>
  <c r="AO22" i="3" s="1"/>
  <c r="BA23" i="3"/>
  <c r="AO23" i="3" s="1"/>
  <c r="BA27" i="3"/>
  <c r="AO27" i="3" s="1"/>
  <c r="BA28" i="3"/>
  <c r="AO28" i="3" s="1"/>
  <c r="BA29" i="3"/>
  <c r="AO29" i="3" s="1"/>
  <c r="BA33" i="3"/>
  <c r="AO33" i="3" s="1"/>
  <c r="BA34" i="3"/>
  <c r="AO34" i="3" s="1"/>
  <c r="BA35" i="3"/>
  <c r="AO35" i="3" s="1"/>
  <c r="BA39" i="3"/>
  <c r="AO39" i="3" s="1"/>
  <c r="BA40" i="3"/>
  <c r="AO40" i="3" s="1"/>
  <c r="BA41" i="3"/>
  <c r="AO41" i="3" s="1"/>
  <c r="BA45" i="3"/>
  <c r="AO45" i="3" s="1"/>
  <c r="BA46" i="3"/>
  <c r="AO46" i="3" s="1"/>
  <c r="BA47" i="3"/>
  <c r="AO47" i="3" s="1"/>
  <c r="BA51" i="3"/>
  <c r="AO51" i="3" s="1"/>
  <c r="BA52" i="3"/>
  <c r="AO52" i="3" s="1"/>
  <c r="BA53" i="3"/>
  <c r="AO53" i="3" s="1"/>
  <c r="BA57" i="3"/>
  <c r="AO57" i="3" s="1"/>
  <c r="BA58" i="3"/>
  <c r="AO58" i="3" s="1"/>
  <c r="BA59" i="3"/>
  <c r="AO59" i="3" s="1"/>
  <c r="BA63" i="3"/>
  <c r="AO63" i="3" s="1"/>
  <c r="BA64" i="3"/>
  <c r="AO64" i="3" s="1"/>
  <c r="BA65" i="3"/>
  <c r="AO65" i="3" s="1"/>
  <c r="BA69" i="3"/>
  <c r="AO69" i="3" s="1"/>
  <c r="BA70" i="3"/>
  <c r="AO70" i="3" s="1"/>
  <c r="BA71" i="3"/>
  <c r="AO71" i="3" s="1"/>
  <c r="BA75" i="3"/>
  <c r="AO75" i="3" s="1"/>
  <c r="BA76" i="3"/>
  <c r="AO76" i="3" s="1"/>
  <c r="BA77" i="3"/>
  <c r="AO77" i="3" s="1"/>
  <c r="AO78" i="3" l="1"/>
  <c r="AO72" i="3"/>
  <c r="AO66" i="3"/>
  <c r="AO60" i="3"/>
  <c r="AO54" i="3"/>
  <c r="AO48" i="3"/>
  <c r="AO42" i="3"/>
  <c r="AO36" i="3"/>
  <c r="AO30" i="3"/>
  <c r="AO24" i="3"/>
  <c r="AO18" i="3"/>
  <c r="AO12" i="3"/>
  <c r="X73" i="3"/>
  <c r="X52" i="3"/>
  <c r="X27" i="3"/>
  <c r="X51" i="3"/>
  <c r="X74" i="3"/>
  <c r="X28" i="3"/>
  <c r="X77" i="3"/>
  <c r="X54" i="3"/>
  <c r="X30" i="3"/>
  <c r="X53" i="3"/>
  <c r="X78" i="3"/>
  <c r="X29" i="3"/>
  <c r="X76" i="3"/>
  <c r="X50" i="3"/>
  <c r="X26" i="3"/>
  <c r="X49" i="3"/>
  <c r="X75" i="3"/>
  <c r="X25" i="3"/>
  <c r="X67" i="3"/>
  <c r="X47" i="3"/>
  <c r="X24" i="3"/>
  <c r="X48" i="3"/>
  <c r="X68" i="3"/>
  <c r="X23" i="3"/>
  <c r="X43" i="3"/>
  <c r="X72" i="3"/>
  <c r="X19" i="3"/>
  <c r="X44" i="3"/>
  <c r="X71" i="3"/>
  <c r="X20" i="3"/>
  <c r="X46" i="3"/>
  <c r="X70" i="3"/>
  <c r="X21" i="3"/>
  <c r="X45" i="3"/>
  <c r="X69" i="3"/>
  <c r="X22" i="3"/>
  <c r="X64" i="3"/>
  <c r="X42" i="3"/>
  <c r="X18" i="3"/>
  <c r="X41" i="3"/>
  <c r="X63" i="3"/>
  <c r="X17" i="3"/>
  <c r="X62" i="3"/>
  <c r="X40" i="3"/>
  <c r="X15" i="3"/>
  <c r="X39" i="3"/>
  <c r="X61" i="3"/>
  <c r="X16" i="3"/>
  <c r="X65" i="3"/>
  <c r="X38" i="3"/>
  <c r="X12" i="3"/>
  <c r="X37" i="3"/>
  <c r="X66" i="3"/>
  <c r="X10" i="3"/>
  <c r="X36" i="3"/>
  <c r="X55" i="3"/>
  <c r="X11" i="3"/>
  <c r="X35" i="3"/>
  <c r="X56" i="3"/>
  <c r="X13" i="3"/>
  <c r="X32" i="3"/>
  <c r="X57" i="3"/>
  <c r="X14" i="3"/>
  <c r="X33" i="3"/>
  <c r="X58" i="3"/>
  <c r="X9" i="3"/>
  <c r="X59" i="3"/>
  <c r="X31" i="3"/>
  <c r="X8" i="3"/>
  <c r="X34" i="3"/>
  <c r="X60" i="3"/>
  <c r="X7" i="3"/>
  <c r="BE77" i="3" l="1" a="1"/>
  <c r="BE77" i="3" s="1"/>
  <c r="BD77" i="3" a="1"/>
  <c r="BD77" i="3" s="1"/>
  <c r="BE76" i="3" a="1"/>
  <c r="BE76" i="3" s="1"/>
  <c r="BD76" i="3" a="1"/>
  <c r="BD76" i="3" s="1"/>
  <c r="BE75" i="3" a="1"/>
  <c r="BE75" i="3" s="1"/>
  <c r="BD75" i="3" a="1"/>
  <c r="BD75" i="3" s="1"/>
  <c r="BE74" i="3" a="1"/>
  <c r="BE74" i="3" s="1"/>
  <c r="BD74" i="3" a="1"/>
  <c r="BD74" i="3" s="1"/>
  <c r="BE71" i="3" a="1"/>
  <c r="BE71" i="3" s="1"/>
  <c r="BD71" i="3" a="1"/>
  <c r="BD71" i="3" s="1"/>
  <c r="BE70" i="3" a="1"/>
  <c r="BE70" i="3" s="1"/>
  <c r="BD70" i="3" a="1"/>
  <c r="BD70" i="3" s="1"/>
  <c r="BE69" i="3" a="1"/>
  <c r="BE69" i="3" s="1"/>
  <c r="BD69" i="3" a="1"/>
  <c r="BD69" i="3" s="1"/>
  <c r="BE68" i="3" a="1"/>
  <c r="BE68" i="3" s="1"/>
  <c r="BD68" i="3" a="1"/>
  <c r="BD68" i="3" s="1"/>
  <c r="BE65" i="3" a="1"/>
  <c r="BE65" i="3" s="1"/>
  <c r="BD65" i="3" a="1"/>
  <c r="BD65" i="3" s="1"/>
  <c r="BE64" i="3" a="1"/>
  <c r="BE64" i="3" s="1"/>
  <c r="BD64" i="3" a="1"/>
  <c r="BD64" i="3" s="1"/>
  <c r="BE63" i="3" a="1"/>
  <c r="BE63" i="3" s="1"/>
  <c r="BD63" i="3" a="1"/>
  <c r="BD63" i="3" s="1"/>
  <c r="BE62" i="3" a="1"/>
  <c r="BE62" i="3" s="1"/>
  <c r="BD62" i="3" a="1"/>
  <c r="BD62" i="3" s="1"/>
  <c r="BE59" i="3" a="1"/>
  <c r="BE59" i="3" s="1"/>
  <c r="BD59" i="3" a="1"/>
  <c r="BD59" i="3" s="1"/>
  <c r="BE58" i="3" a="1"/>
  <c r="BE58" i="3" s="1"/>
  <c r="BD58" i="3" a="1"/>
  <c r="BD58" i="3" s="1"/>
  <c r="BE57" i="3" a="1"/>
  <c r="BE57" i="3" s="1"/>
  <c r="BD57" i="3" a="1"/>
  <c r="BD57" i="3" s="1"/>
  <c r="BE56" i="3" a="1"/>
  <c r="BE56" i="3" s="1"/>
  <c r="BD56" i="3" a="1"/>
  <c r="BD56" i="3" s="1"/>
  <c r="BE53" i="3" a="1"/>
  <c r="BE53" i="3" s="1"/>
  <c r="BD53" i="3" a="1"/>
  <c r="BD53" i="3" s="1"/>
  <c r="BE52" i="3" a="1"/>
  <c r="BE52" i="3" s="1"/>
  <c r="BD52" i="3" a="1"/>
  <c r="BD52" i="3" s="1"/>
  <c r="BE51" i="3" a="1"/>
  <c r="BE51" i="3" s="1"/>
  <c r="BD51" i="3" a="1"/>
  <c r="BD51" i="3" s="1"/>
  <c r="BE50" i="3" a="1"/>
  <c r="BE50" i="3" s="1"/>
  <c r="BD50" i="3" a="1"/>
  <c r="BD50" i="3" s="1"/>
  <c r="BE47" i="3" a="1"/>
  <c r="BE47" i="3" s="1"/>
  <c r="BD47" i="3" a="1"/>
  <c r="BD47" i="3" s="1"/>
  <c r="BE46" i="3" a="1"/>
  <c r="BE46" i="3" s="1"/>
  <c r="BD46" i="3" a="1"/>
  <c r="BD46" i="3" s="1"/>
  <c r="BE45" i="3" a="1"/>
  <c r="BE45" i="3" s="1"/>
  <c r="BD45" i="3" a="1"/>
  <c r="BD45" i="3" s="1"/>
  <c r="BE44" i="3" a="1"/>
  <c r="BE44" i="3" s="1"/>
  <c r="BD44" i="3" a="1"/>
  <c r="BD44" i="3" s="1"/>
  <c r="BE41" i="3" a="1"/>
  <c r="BE41" i="3" s="1"/>
  <c r="BD41" i="3" a="1"/>
  <c r="BD41" i="3" s="1"/>
  <c r="BE40" i="3" a="1"/>
  <c r="BE40" i="3" s="1"/>
  <c r="BD40" i="3" a="1"/>
  <c r="BD40" i="3" s="1"/>
  <c r="BE39" i="3" a="1"/>
  <c r="BE39" i="3" s="1"/>
  <c r="BD39" i="3" a="1"/>
  <c r="BD39" i="3" s="1"/>
  <c r="BE38" i="3" a="1"/>
  <c r="BE38" i="3" s="1"/>
  <c r="BD38" i="3" a="1"/>
  <c r="BD38" i="3" s="1"/>
  <c r="BE35" i="3" a="1"/>
  <c r="BE35" i="3" s="1"/>
  <c r="BD35" i="3" a="1"/>
  <c r="BD35" i="3" s="1"/>
  <c r="BE34" i="3" a="1"/>
  <c r="BE34" i="3" s="1"/>
  <c r="BD34" i="3" a="1"/>
  <c r="BD34" i="3" s="1"/>
  <c r="BE33" i="3" a="1"/>
  <c r="BE33" i="3" s="1"/>
  <c r="BD33" i="3" a="1"/>
  <c r="BD33" i="3" s="1"/>
  <c r="BE32" i="3" a="1"/>
  <c r="BE32" i="3" s="1"/>
  <c r="BD32" i="3" a="1"/>
  <c r="BD32" i="3" s="1"/>
  <c r="BE29" i="3" a="1"/>
  <c r="BE29" i="3" s="1"/>
  <c r="BD29" i="3" a="1"/>
  <c r="BD29" i="3" s="1"/>
  <c r="BE28" i="3" a="1"/>
  <c r="BE28" i="3" s="1"/>
  <c r="BD28" i="3" a="1"/>
  <c r="BD28" i="3" s="1"/>
  <c r="BE27" i="3" a="1"/>
  <c r="BE27" i="3" s="1"/>
  <c r="BD27" i="3" a="1"/>
  <c r="BD27" i="3" s="1"/>
  <c r="BE26" i="3" a="1"/>
  <c r="BE26" i="3" s="1"/>
  <c r="BD26" i="3" a="1"/>
  <c r="BD26" i="3" s="1"/>
  <c r="BE23" i="3" a="1"/>
  <c r="BE23" i="3" s="1"/>
  <c r="BD23" i="3" a="1"/>
  <c r="BD23" i="3" s="1"/>
  <c r="BE22" i="3" a="1"/>
  <c r="BE22" i="3" s="1"/>
  <c r="BD22" i="3" a="1"/>
  <c r="BD22" i="3" s="1"/>
  <c r="BE21" i="3" a="1"/>
  <c r="BE21" i="3" s="1"/>
  <c r="BD21" i="3" a="1"/>
  <c r="BD21" i="3" s="1"/>
  <c r="BE20" i="3" a="1"/>
  <c r="BE20" i="3" s="1"/>
  <c r="BD20" i="3" a="1"/>
  <c r="BD20" i="3" s="1"/>
  <c r="BE17" i="3" a="1"/>
  <c r="BE17" i="3" s="1"/>
  <c r="BD17" i="3" a="1"/>
  <c r="BD17" i="3" s="1"/>
  <c r="BE16" i="3" a="1"/>
  <c r="BE16" i="3" s="1"/>
  <c r="BD16" i="3" a="1"/>
  <c r="BD16" i="3" s="1"/>
  <c r="BE15" i="3" a="1"/>
  <c r="BE15" i="3" s="1"/>
  <c r="BD15" i="3" a="1"/>
  <c r="BD15" i="3" s="1"/>
  <c r="BE14" i="3" a="1"/>
  <c r="BE14" i="3" s="1"/>
  <c r="BD14" i="3" a="1"/>
  <c r="BD14" i="3" s="1"/>
  <c r="BE11" i="3" a="1"/>
  <c r="BE11" i="3" s="1"/>
  <c r="BD11" i="3" a="1"/>
  <c r="BD11" i="3" s="1"/>
  <c r="BE10" i="3" a="1"/>
  <c r="BE10" i="3" s="1"/>
  <c r="BD10" i="3" a="1"/>
  <c r="BD10" i="3" s="1"/>
  <c r="BE9" i="3" a="1"/>
  <c r="BE9" i="3" s="1"/>
  <c r="BD9" i="3" a="1"/>
  <c r="BD9" i="3" s="1"/>
  <c r="BE8" i="3" a="1"/>
  <c r="BE8" i="3" s="1"/>
  <c r="BD8" i="3" a="1"/>
  <c r="BD8" i="3" s="1"/>
  <c r="BC77" i="3" a="1"/>
  <c r="BC77" i="3" s="1"/>
  <c r="BB77" i="3" a="1"/>
  <c r="BB77" i="3" s="1"/>
  <c r="BC76" i="3" a="1"/>
  <c r="BC76" i="3" s="1"/>
  <c r="BB76" i="3" a="1"/>
  <c r="BB76" i="3" s="1"/>
  <c r="BC75" i="3" a="1"/>
  <c r="BC75" i="3" s="1"/>
  <c r="BB75" i="3" a="1"/>
  <c r="BB75" i="3" s="1"/>
  <c r="BC74" i="3" a="1"/>
  <c r="BC74" i="3" s="1"/>
  <c r="BB74" i="3" a="1"/>
  <c r="BB74" i="3" s="1"/>
  <c r="BC71" i="3" a="1"/>
  <c r="BC71" i="3" s="1"/>
  <c r="BB71" i="3" a="1"/>
  <c r="BB71" i="3" s="1"/>
  <c r="BC70" i="3" a="1"/>
  <c r="BC70" i="3" s="1"/>
  <c r="BB70" i="3" a="1"/>
  <c r="BB70" i="3" s="1"/>
  <c r="BC69" i="3" a="1"/>
  <c r="BC69" i="3" s="1"/>
  <c r="BB69" i="3" a="1"/>
  <c r="BB69" i="3" s="1"/>
  <c r="BC68" i="3" a="1"/>
  <c r="BC68" i="3" s="1"/>
  <c r="BB68" i="3" a="1"/>
  <c r="BB68" i="3" s="1"/>
  <c r="BC65" i="3" a="1"/>
  <c r="BC65" i="3" s="1"/>
  <c r="BB65" i="3" a="1"/>
  <c r="BB65" i="3" s="1"/>
  <c r="BC64" i="3" a="1"/>
  <c r="BC64" i="3" s="1"/>
  <c r="BB64" i="3" a="1"/>
  <c r="BB64" i="3" s="1"/>
  <c r="BC63" i="3" a="1"/>
  <c r="BC63" i="3" s="1"/>
  <c r="BB63" i="3" a="1"/>
  <c r="BB63" i="3" s="1"/>
  <c r="BC62" i="3" a="1"/>
  <c r="BC62" i="3" s="1"/>
  <c r="BB62" i="3" a="1"/>
  <c r="BB62" i="3" s="1"/>
  <c r="BC59" i="3" a="1"/>
  <c r="BC59" i="3" s="1"/>
  <c r="BB59" i="3" a="1"/>
  <c r="BB59" i="3" s="1"/>
  <c r="BC58" i="3" a="1"/>
  <c r="BC58" i="3" s="1"/>
  <c r="BB58" i="3" a="1"/>
  <c r="BB58" i="3" s="1"/>
  <c r="BC57" i="3" a="1"/>
  <c r="BC57" i="3" s="1"/>
  <c r="BB57" i="3" a="1"/>
  <c r="BB57" i="3" s="1"/>
  <c r="BC56" i="3" a="1"/>
  <c r="BC56" i="3" s="1"/>
  <c r="BB56" i="3" a="1"/>
  <c r="BB56" i="3" s="1"/>
  <c r="BC53" i="3" a="1"/>
  <c r="BC53" i="3" s="1"/>
  <c r="BB53" i="3" a="1"/>
  <c r="BB53" i="3" s="1"/>
  <c r="BC52" i="3" a="1"/>
  <c r="BC52" i="3" s="1"/>
  <c r="BB52" i="3" a="1"/>
  <c r="BB52" i="3" s="1"/>
  <c r="BC51" i="3" a="1"/>
  <c r="BC51" i="3" s="1"/>
  <c r="BB51" i="3" a="1"/>
  <c r="BB51" i="3" s="1"/>
  <c r="BC50" i="3" a="1"/>
  <c r="BC50" i="3" s="1"/>
  <c r="BB50" i="3" a="1"/>
  <c r="BB50" i="3" s="1"/>
  <c r="BC47" i="3" a="1"/>
  <c r="BC47" i="3" s="1"/>
  <c r="BB47" i="3" a="1"/>
  <c r="BB47" i="3" s="1"/>
  <c r="BC46" i="3" a="1"/>
  <c r="BC46" i="3" s="1"/>
  <c r="BB46" i="3" a="1"/>
  <c r="BB46" i="3" s="1"/>
  <c r="BC45" i="3" a="1"/>
  <c r="BC45" i="3" s="1"/>
  <c r="BB45" i="3" a="1"/>
  <c r="BB45" i="3" s="1"/>
  <c r="BC44" i="3" a="1"/>
  <c r="BC44" i="3" s="1"/>
  <c r="BB44" i="3" a="1"/>
  <c r="BB44" i="3" s="1"/>
  <c r="BC41" i="3" a="1"/>
  <c r="BC41" i="3" s="1"/>
  <c r="BB41" i="3" a="1"/>
  <c r="BB41" i="3" s="1"/>
  <c r="BC40" i="3" a="1"/>
  <c r="BC40" i="3" s="1"/>
  <c r="BB40" i="3" a="1"/>
  <c r="BB40" i="3" s="1"/>
  <c r="BC39" i="3" a="1"/>
  <c r="BC39" i="3" s="1"/>
  <c r="BB39" i="3" a="1"/>
  <c r="BB39" i="3" s="1"/>
  <c r="BC38" i="3" a="1"/>
  <c r="BC38" i="3" s="1"/>
  <c r="BB38" i="3" a="1"/>
  <c r="BB38" i="3" s="1"/>
  <c r="BC35" i="3" a="1"/>
  <c r="BC35" i="3" s="1"/>
  <c r="BB35" i="3" a="1"/>
  <c r="BB35" i="3" s="1"/>
  <c r="BC34" i="3" a="1"/>
  <c r="BC34" i="3" s="1"/>
  <c r="BB34" i="3" a="1"/>
  <c r="BB34" i="3" s="1"/>
  <c r="BC33" i="3" a="1"/>
  <c r="BC33" i="3" s="1"/>
  <c r="BB33" i="3" a="1"/>
  <c r="BB33" i="3" s="1"/>
  <c r="BC32" i="3" a="1"/>
  <c r="BC32" i="3" s="1"/>
  <c r="BB32" i="3" a="1"/>
  <c r="BB32" i="3" s="1"/>
  <c r="BC29" i="3" a="1"/>
  <c r="BC29" i="3" s="1"/>
  <c r="BB29" i="3" a="1"/>
  <c r="BB29" i="3" s="1"/>
  <c r="BC28" i="3" a="1"/>
  <c r="BC28" i="3" s="1"/>
  <c r="BB28" i="3" a="1"/>
  <c r="BB28" i="3" s="1"/>
  <c r="BC27" i="3" a="1"/>
  <c r="BC27" i="3" s="1"/>
  <c r="BB27" i="3" a="1"/>
  <c r="BB27" i="3" s="1"/>
  <c r="BC26" i="3" a="1"/>
  <c r="BC26" i="3" s="1"/>
  <c r="BB26" i="3" a="1"/>
  <c r="BB26" i="3" s="1"/>
  <c r="BC23" i="3" a="1"/>
  <c r="BC23" i="3" s="1"/>
  <c r="BB23" i="3" a="1"/>
  <c r="BB23" i="3" s="1"/>
  <c r="BC22" i="3" a="1"/>
  <c r="BC22" i="3" s="1"/>
  <c r="BB22" i="3" a="1"/>
  <c r="BB22" i="3" s="1"/>
  <c r="BC21" i="3" a="1"/>
  <c r="BC21" i="3" s="1"/>
  <c r="BB21" i="3" a="1"/>
  <c r="BB21" i="3" s="1"/>
  <c r="BC20" i="3" a="1"/>
  <c r="BC20" i="3" s="1"/>
  <c r="BB20" i="3" a="1"/>
  <c r="BB20" i="3" s="1"/>
  <c r="BC17" i="3" a="1"/>
  <c r="BC17" i="3" s="1"/>
  <c r="BB17" i="3" a="1"/>
  <c r="BB17" i="3" s="1"/>
  <c r="BC16" i="3" a="1"/>
  <c r="BC16" i="3" s="1"/>
  <c r="BB16" i="3" a="1"/>
  <c r="BB16" i="3" s="1"/>
  <c r="BC15" i="3" a="1"/>
  <c r="BC15" i="3" s="1"/>
  <c r="BB15" i="3" a="1"/>
  <c r="BB15" i="3" s="1"/>
  <c r="BC14" i="3" a="1"/>
  <c r="BC14" i="3" s="1"/>
  <c r="BB14" i="3" a="1"/>
  <c r="BB14" i="3" s="1"/>
  <c r="BC11" i="3" a="1"/>
  <c r="BC11" i="3" s="1"/>
  <c r="BB11" i="3" a="1"/>
  <c r="BB11" i="3" s="1"/>
  <c r="BC10" i="3" a="1"/>
  <c r="BC10" i="3" s="1"/>
  <c r="BB10" i="3" a="1"/>
  <c r="BB10" i="3" s="1"/>
  <c r="BC9" i="3" a="1"/>
  <c r="BC9" i="3" s="1"/>
  <c r="BB9" i="3" a="1"/>
  <c r="BB9" i="3" s="1"/>
  <c r="BC8" i="3" a="1"/>
  <c r="BC8" i="3" s="1"/>
  <c r="BB8" i="3" a="1"/>
  <c r="BB8" i="3" s="1"/>
  <c r="Z7" i="3"/>
  <c r="Y7" i="3"/>
  <c r="Z60" i="3"/>
  <c r="Y60" i="3"/>
  <c r="Z34" i="3"/>
  <c r="Y34" i="3"/>
  <c r="Z8" i="3"/>
  <c r="Y8" i="3"/>
  <c r="Z31" i="3"/>
  <c r="Y31" i="3"/>
  <c r="Z59" i="3"/>
  <c r="Y59" i="3"/>
  <c r="Z9" i="3"/>
  <c r="Y9" i="3"/>
  <c r="Z58" i="3"/>
  <c r="Y58" i="3"/>
  <c r="Z33" i="3"/>
  <c r="Y33" i="3"/>
  <c r="Z14" i="3"/>
  <c r="Y14" i="3"/>
  <c r="Z57" i="3"/>
  <c r="Y57" i="3"/>
  <c r="Z32" i="3"/>
  <c r="Y32" i="3"/>
  <c r="Z13" i="3"/>
  <c r="Y13" i="3"/>
  <c r="Z56" i="3"/>
  <c r="Y56" i="3"/>
  <c r="Z35" i="3"/>
  <c r="Y35" i="3"/>
  <c r="Z11" i="3"/>
  <c r="Y11" i="3"/>
  <c r="Z55" i="3"/>
  <c r="Y55" i="3"/>
  <c r="Z36" i="3"/>
  <c r="Y36" i="3"/>
  <c r="Z10" i="3"/>
  <c r="Y10" i="3"/>
  <c r="Z66" i="3"/>
  <c r="Y66" i="3"/>
  <c r="Z37" i="3"/>
  <c r="Y37" i="3"/>
  <c r="Z12" i="3"/>
  <c r="Y12" i="3"/>
  <c r="Z38" i="3"/>
  <c r="Y38" i="3"/>
  <c r="Z65" i="3"/>
  <c r="Y65" i="3"/>
  <c r="Z16" i="3"/>
  <c r="Y16" i="3"/>
  <c r="Z61" i="3"/>
  <c r="Y61" i="3"/>
  <c r="Z39" i="3"/>
  <c r="Y39" i="3"/>
  <c r="Z15" i="3"/>
  <c r="Y15" i="3"/>
  <c r="Z40" i="3"/>
  <c r="Y40" i="3"/>
  <c r="Z62" i="3"/>
  <c r="Y62" i="3"/>
  <c r="Z17" i="3"/>
  <c r="Y17" i="3"/>
  <c r="Z63" i="3"/>
  <c r="Y63" i="3"/>
  <c r="Z41" i="3"/>
  <c r="Y41" i="3"/>
  <c r="Z18" i="3"/>
  <c r="Y18" i="3"/>
  <c r="Z42" i="3"/>
  <c r="Y42" i="3"/>
  <c r="Z64" i="3"/>
  <c r="Y64" i="3"/>
  <c r="Z22" i="3"/>
  <c r="Y22" i="3"/>
  <c r="Z69" i="3"/>
  <c r="Y69" i="3"/>
  <c r="Z45" i="3"/>
  <c r="Y45" i="3"/>
  <c r="Z21" i="3"/>
  <c r="Y21" i="3"/>
  <c r="Z70" i="3"/>
  <c r="Y70" i="3"/>
  <c r="Z46" i="3"/>
  <c r="Y46" i="3"/>
  <c r="Z20" i="3"/>
  <c r="Y20" i="3"/>
  <c r="Z71" i="3"/>
  <c r="Y71" i="3"/>
  <c r="Z44" i="3"/>
  <c r="Y44" i="3"/>
  <c r="Z19" i="3"/>
  <c r="Y19" i="3"/>
  <c r="Z72" i="3"/>
  <c r="Y72" i="3"/>
  <c r="Z43" i="3"/>
  <c r="Y43" i="3"/>
  <c r="Z23" i="3"/>
  <c r="Y23" i="3"/>
  <c r="Z68" i="3"/>
  <c r="Y68" i="3"/>
  <c r="Z48" i="3"/>
  <c r="Y48" i="3"/>
  <c r="Z24" i="3"/>
  <c r="Y24" i="3"/>
  <c r="Z47" i="3"/>
  <c r="Y47" i="3"/>
  <c r="Z67" i="3"/>
  <c r="Y67" i="3"/>
  <c r="Z25" i="3"/>
  <c r="Y25" i="3"/>
  <c r="Z75" i="3"/>
  <c r="Y75" i="3"/>
  <c r="Z49" i="3"/>
  <c r="Y49" i="3"/>
  <c r="Z26" i="3"/>
  <c r="Y26" i="3"/>
  <c r="Z50" i="3"/>
  <c r="Y50" i="3"/>
  <c r="Z76" i="3"/>
  <c r="Y76" i="3"/>
  <c r="Z29" i="3"/>
  <c r="Y29" i="3"/>
  <c r="Z78" i="3"/>
  <c r="Y78" i="3"/>
  <c r="Z53" i="3"/>
  <c r="Y53" i="3"/>
  <c r="Z30" i="3"/>
  <c r="Y30" i="3"/>
  <c r="Z54" i="3"/>
  <c r="Y54" i="3"/>
  <c r="Z77" i="3"/>
  <c r="Y77" i="3"/>
  <c r="Z28" i="3"/>
  <c r="Y28" i="3"/>
  <c r="Z74" i="3"/>
  <c r="Y74" i="3"/>
  <c r="Z51" i="3"/>
  <c r="Y51" i="3"/>
  <c r="Z27" i="3"/>
  <c r="Y27" i="3"/>
  <c r="Z52" i="3"/>
  <c r="Y52" i="3"/>
  <c r="Z73" i="3"/>
  <c r="Y73" i="3"/>
  <c r="BF58" i="3" l="1"/>
  <c r="BF64" i="3"/>
  <c r="BF10" i="3"/>
  <c r="BF16" i="3"/>
  <c r="BF22" i="3"/>
  <c r="BF28" i="3"/>
  <c r="BF40" i="3"/>
  <c r="BF52" i="3"/>
  <c r="BF70" i="3"/>
  <c r="BF63" i="3"/>
  <c r="BF34" i="3"/>
  <c r="BF46" i="3"/>
  <c r="BC12" i="3"/>
  <c r="BC18" i="3"/>
  <c r="BC24" i="3"/>
  <c r="BC30" i="3"/>
  <c r="BC36" i="3"/>
  <c r="BC42" i="3"/>
  <c r="BC48" i="3"/>
  <c r="BC54" i="3"/>
  <c r="BC60" i="3"/>
  <c r="BC66" i="3"/>
  <c r="BC72" i="3"/>
  <c r="BC78" i="3"/>
  <c r="BE12" i="3"/>
  <c r="BE18" i="3"/>
  <c r="BE24" i="3"/>
  <c r="BE30" i="3"/>
  <c r="BE36" i="3"/>
  <c r="BE42" i="3"/>
  <c r="BE48" i="3"/>
  <c r="BE54" i="3"/>
  <c r="BE60" i="3"/>
  <c r="BE66" i="3"/>
  <c r="BE72" i="3"/>
  <c r="BE78" i="3"/>
  <c r="BF9" i="3"/>
  <c r="BF15" i="3"/>
  <c r="BF21" i="3"/>
  <c r="BF27" i="3"/>
  <c r="BF33" i="3"/>
  <c r="BF39" i="3"/>
  <c r="BF45" i="3"/>
  <c r="BF51" i="3"/>
  <c r="BF57" i="3"/>
  <c r="BF69" i="3"/>
  <c r="BF75" i="3"/>
  <c r="BF76" i="3"/>
  <c r="BF11" i="3"/>
  <c r="BF17" i="3"/>
  <c r="BF23" i="3"/>
  <c r="BF29" i="3"/>
  <c r="BF35" i="3"/>
  <c r="BF41" i="3"/>
  <c r="BF47" i="3"/>
  <c r="BF53" i="3"/>
  <c r="BF59" i="3"/>
  <c r="BF65" i="3"/>
  <c r="BF71" i="3"/>
  <c r="BF77" i="3"/>
  <c r="BB12" i="3"/>
  <c r="BB18" i="3"/>
  <c r="BB24" i="3"/>
  <c r="BB30" i="3"/>
  <c r="BB36" i="3"/>
  <c r="BB42" i="3"/>
  <c r="BB48" i="3"/>
  <c r="BB54" i="3"/>
  <c r="BB60" i="3"/>
  <c r="BB66" i="3"/>
  <c r="BB72" i="3"/>
  <c r="BB78" i="3"/>
  <c r="BD12" i="3"/>
  <c r="BF8" i="3"/>
  <c r="BD18" i="3"/>
  <c r="BF14" i="3"/>
  <c r="BD24" i="3"/>
  <c r="BF20" i="3"/>
  <c r="BD30" i="3"/>
  <c r="BF26" i="3"/>
  <c r="BD36" i="3"/>
  <c r="BF32" i="3"/>
  <c r="BD42" i="3"/>
  <c r="BF38" i="3"/>
  <c r="BD48" i="3"/>
  <c r="BF44" i="3"/>
  <c r="BD54" i="3"/>
  <c r="BF50" i="3"/>
  <c r="BD60" i="3"/>
  <c r="BF56" i="3"/>
  <c r="BD66" i="3"/>
  <c r="BF62" i="3"/>
  <c r="BD72" i="3"/>
  <c r="BF68" i="3"/>
  <c r="BD78" i="3"/>
  <c r="BF74" i="3"/>
  <c r="BG26" i="3" l="1"/>
  <c r="BG50" i="3"/>
  <c r="BG28" i="3"/>
  <c r="BG62" i="3"/>
  <c r="BG16" i="3"/>
  <c r="BG9" i="3"/>
  <c r="BG76" i="3"/>
  <c r="BG58" i="3"/>
  <c r="BG35" i="3"/>
  <c r="BG63" i="3"/>
  <c r="BG74" i="3"/>
  <c r="BG38" i="3"/>
  <c r="BG75" i="3"/>
  <c r="BG57" i="3"/>
  <c r="BG23" i="3"/>
  <c r="BG59" i="3"/>
  <c r="BG32" i="3"/>
  <c r="BG65" i="3"/>
  <c r="BG45" i="3"/>
  <c r="BG8" i="3"/>
  <c r="BG15" i="3"/>
  <c r="BG20" i="3"/>
  <c r="BG11" i="3"/>
  <c r="BG46" i="3"/>
  <c r="BG17" i="3"/>
  <c r="BG47" i="3"/>
  <c r="BG68" i="3"/>
  <c r="BG44" i="3"/>
  <c r="BG29" i="3"/>
  <c r="BG77" i="3"/>
  <c r="BG64" i="3"/>
  <c r="BG51" i="3"/>
  <c r="BG39" i="3"/>
  <c r="BG10" i="3"/>
  <c r="BG27" i="3"/>
  <c r="BG53" i="3"/>
  <c r="BG34" i="3"/>
  <c r="BG71" i="3"/>
  <c r="BG52" i="3"/>
  <c r="BG33" i="3"/>
  <c r="BG14" i="3"/>
  <c r="BG70" i="3"/>
  <c r="BG41" i="3"/>
  <c r="BG22" i="3"/>
  <c r="BG69" i="3"/>
  <c r="BG40" i="3"/>
  <c r="BG21" i="3"/>
  <c r="BG56" i="3"/>
  <c r="BH56" i="3"/>
  <c r="BG78" i="3" l="1"/>
  <c r="BH74" i="3" s="1"/>
  <c r="BG66" i="3"/>
  <c r="BH62" i="3" s="1"/>
  <c r="BG48" i="3"/>
  <c r="BH44" i="3" s="1"/>
  <c r="BG60" i="3"/>
  <c r="BG24" i="3"/>
  <c r="BH20" i="3" s="1"/>
  <c r="BG12" i="3"/>
  <c r="BH8" i="3" s="1"/>
  <c r="BG36" i="3"/>
  <c r="BH32" i="3" s="1"/>
  <c r="BG30" i="3"/>
  <c r="BH26" i="3" s="1"/>
  <c r="BG72" i="3"/>
  <c r="BH68" i="3" s="1"/>
  <c r="BG42" i="3"/>
  <c r="BH38" i="3" s="1"/>
  <c r="BG18" i="3"/>
  <c r="BH14" i="3" s="1"/>
  <c r="BG54" i="3"/>
  <c r="BH50" i="3" s="1"/>
  <c r="BH57" i="3"/>
  <c r="BH58" i="3"/>
  <c r="BH59" i="3"/>
  <c r="BH23" i="3" l="1"/>
  <c r="BH10" i="3"/>
  <c r="BH75" i="3"/>
  <c r="BH76" i="3"/>
  <c r="BH77" i="3"/>
  <c r="BH21" i="3"/>
  <c r="BH9" i="3"/>
  <c r="BH11" i="3"/>
  <c r="BH64" i="3"/>
  <c r="BH63" i="3"/>
  <c r="BH33" i="3"/>
  <c r="BH47" i="3"/>
  <c r="BH28" i="3"/>
  <c r="BH69" i="3"/>
  <c r="BH65" i="3"/>
  <c r="BH71" i="3"/>
  <c r="BH22" i="3"/>
  <c r="BH17" i="3"/>
  <c r="BH34" i="3"/>
  <c r="BH35" i="3"/>
  <c r="BH45" i="3"/>
  <c r="BH46" i="3"/>
  <c r="BH27" i="3"/>
  <c r="BH29" i="3"/>
  <c r="BH39" i="3"/>
  <c r="BH40" i="3"/>
  <c r="BH70" i="3"/>
  <c r="BH15" i="3"/>
  <c r="BH60" i="3"/>
  <c r="BI56" i="3" s="1"/>
  <c r="AP56" i="3" s="1"/>
  <c r="BH53" i="3"/>
  <c r="BH16" i="3"/>
  <c r="BH51" i="3"/>
  <c r="BH41" i="3"/>
  <c r="BH52" i="3"/>
  <c r="BH78" i="3" l="1"/>
  <c r="BI76" i="3" s="1"/>
  <c r="AP76" i="3" s="1"/>
  <c r="BH12" i="3"/>
  <c r="BI11" i="3" s="1"/>
  <c r="AP11" i="3" s="1"/>
  <c r="BH30" i="3"/>
  <c r="BI28" i="3" s="1"/>
  <c r="AP28" i="3" s="1"/>
  <c r="BH24" i="3"/>
  <c r="BI23" i="3" s="1"/>
  <c r="AP23" i="3" s="1"/>
  <c r="BH66" i="3"/>
  <c r="BI65" i="3" s="1"/>
  <c r="AP65" i="3" s="1"/>
  <c r="BH72" i="3"/>
  <c r="BI71" i="3" s="1"/>
  <c r="AP71" i="3" s="1"/>
  <c r="BI59" i="3"/>
  <c r="AP59" i="3" s="1"/>
  <c r="BH42" i="3"/>
  <c r="BI40" i="3" s="1"/>
  <c r="AP40" i="3" s="1"/>
  <c r="BI57" i="3"/>
  <c r="AP57" i="3" s="1"/>
  <c r="BH36" i="3"/>
  <c r="BI34" i="3" s="1"/>
  <c r="AP34" i="3" s="1"/>
  <c r="BH48" i="3"/>
  <c r="BI46" i="3" s="1"/>
  <c r="AP46" i="3" s="1"/>
  <c r="BH18" i="3"/>
  <c r="BI17" i="3" s="1"/>
  <c r="AP17" i="3" s="1"/>
  <c r="BH54" i="3"/>
  <c r="BI52" i="3" s="1"/>
  <c r="AP52" i="3" s="1"/>
  <c r="BI58" i="3"/>
  <c r="AP58" i="3" s="1"/>
  <c r="BI26" i="3" l="1"/>
  <c r="AP26" i="3" s="1"/>
  <c r="BI69" i="3"/>
  <c r="AP69" i="3" s="1"/>
  <c r="BI20" i="3"/>
  <c r="AP20" i="3" s="1"/>
  <c r="BI22" i="3"/>
  <c r="AP22" i="3" s="1"/>
  <c r="BI77" i="3"/>
  <c r="AP77" i="3" s="1"/>
  <c r="BI75" i="3"/>
  <c r="AP75" i="3" s="1"/>
  <c r="BI74" i="3"/>
  <c r="AP74" i="3" s="1"/>
  <c r="BI68" i="3"/>
  <c r="AP68" i="3" s="1"/>
  <c r="BI39" i="3"/>
  <c r="AP39" i="3" s="1"/>
  <c r="BI38" i="3"/>
  <c r="AP38" i="3" s="1"/>
  <c r="BI35" i="3"/>
  <c r="AP35" i="3" s="1"/>
  <c r="BI33" i="3"/>
  <c r="AP33" i="3" s="1"/>
  <c r="BI9" i="3"/>
  <c r="AP9" i="3" s="1"/>
  <c r="BI10" i="3"/>
  <c r="AP10" i="3" s="1"/>
  <c r="BI8" i="3"/>
  <c r="AP8" i="3" s="1"/>
  <c r="BI53" i="3"/>
  <c r="AP53" i="3" s="1"/>
  <c r="BI44" i="3"/>
  <c r="AP44" i="3" s="1"/>
  <c r="BI70" i="3"/>
  <c r="AP70" i="3" s="1"/>
  <c r="BI47" i="3"/>
  <c r="AP47" i="3" s="1"/>
  <c r="BI29" i="3"/>
  <c r="AP29" i="3" s="1"/>
  <c r="BI32" i="3"/>
  <c r="AP32" i="3" s="1"/>
  <c r="BI41" i="3"/>
  <c r="AP41" i="3" s="1"/>
  <c r="BI27" i="3"/>
  <c r="AP27" i="3" s="1"/>
  <c r="BI14" i="3"/>
  <c r="AP14" i="3" s="1"/>
  <c r="BI64" i="3"/>
  <c r="AP64" i="3" s="1"/>
  <c r="BI63" i="3"/>
  <c r="AP63" i="3" s="1"/>
  <c r="BI16" i="3"/>
  <c r="AP16" i="3" s="1"/>
  <c r="AP60" i="3"/>
  <c r="AR57" i="3" s="1"/>
  <c r="BI62" i="3"/>
  <c r="AP62" i="3" s="1"/>
  <c r="BI45" i="3"/>
  <c r="AP45" i="3" s="1"/>
  <c r="BI21" i="3"/>
  <c r="AP21" i="3" s="1"/>
  <c r="BI51" i="3"/>
  <c r="AP51" i="3" s="1"/>
  <c r="BI50" i="3"/>
  <c r="AP50" i="3" s="1"/>
  <c r="BI15" i="3"/>
  <c r="AP15" i="3" s="1"/>
  <c r="AP12" i="3" l="1"/>
  <c r="AR8" i="3" s="1"/>
  <c r="AP36" i="3"/>
  <c r="AR32" i="3" s="1"/>
  <c r="AP72" i="3"/>
  <c r="AR68" i="3" s="1"/>
  <c r="AP30" i="3"/>
  <c r="AR26" i="3" s="1"/>
  <c r="AP78" i="3"/>
  <c r="AR74" i="3" s="1"/>
  <c r="AP24" i="3"/>
  <c r="AR20" i="3" s="1"/>
  <c r="AR58" i="3"/>
  <c r="AR59" i="3"/>
  <c r="AR56" i="3"/>
  <c r="AD57" i="3" s="1"/>
  <c r="AP42" i="3"/>
  <c r="AR38" i="3" s="1"/>
  <c r="AP66" i="3"/>
  <c r="AR62" i="3" s="1"/>
  <c r="AP48" i="3"/>
  <c r="AR44" i="3" s="1"/>
  <c r="AP18" i="3"/>
  <c r="AR14" i="3" s="1"/>
  <c r="AP54" i="3"/>
  <c r="AR50" i="3" s="1"/>
  <c r="AR33" i="3" l="1"/>
  <c r="AR35" i="3"/>
  <c r="AR34" i="3"/>
  <c r="AR27" i="3"/>
  <c r="AD58" i="3"/>
  <c r="AR28" i="3"/>
  <c r="AR9" i="3"/>
  <c r="AR10" i="3"/>
  <c r="AR11" i="3"/>
  <c r="AD8" i="3" s="1"/>
  <c r="AR29" i="3"/>
  <c r="AR21" i="3"/>
  <c r="AR75" i="3"/>
  <c r="AR76" i="3"/>
  <c r="AR69" i="3"/>
  <c r="AR22" i="3"/>
  <c r="AR71" i="3"/>
  <c r="AR77" i="3"/>
  <c r="AR70" i="3"/>
  <c r="AR40" i="3"/>
  <c r="AR65" i="3"/>
  <c r="AR41" i="3"/>
  <c r="AD41" i="3" s="1"/>
  <c r="AR23" i="3"/>
  <c r="AR51" i="3"/>
  <c r="AR52" i="3"/>
  <c r="AR53" i="3"/>
  <c r="AR46" i="3"/>
  <c r="AR15" i="3"/>
  <c r="AR45" i="3"/>
  <c r="AR63" i="3"/>
  <c r="AR47" i="3"/>
  <c r="AR64" i="3"/>
  <c r="AR39" i="3"/>
  <c r="AD56" i="3"/>
  <c r="AR16" i="3"/>
  <c r="AR17" i="3"/>
  <c r="AD59" i="3"/>
  <c r="M58" i="3" l="1"/>
  <c r="AD33" i="3"/>
  <c r="AD32" i="3"/>
  <c r="M33" i="3" s="1"/>
  <c r="AD35" i="3"/>
  <c r="AD34" i="3"/>
  <c r="AD28" i="3"/>
  <c r="AD9" i="3"/>
  <c r="AD11" i="3"/>
  <c r="AD27" i="3"/>
  <c r="AD10" i="3"/>
  <c r="AD26" i="3"/>
  <c r="O27" i="3" s="1"/>
  <c r="AD71" i="3"/>
  <c r="AD75" i="3"/>
  <c r="AD29" i="3"/>
  <c r="AD22" i="3"/>
  <c r="O60" i="3"/>
  <c r="L59" i="3"/>
  <c r="AD77" i="3"/>
  <c r="AD39" i="3"/>
  <c r="N58" i="3"/>
  <c r="AD69" i="3"/>
  <c r="AD76" i="3"/>
  <c r="AD74" i="3"/>
  <c r="AD53" i="3"/>
  <c r="M59" i="3"/>
  <c r="AD70" i="3"/>
  <c r="AD21" i="3"/>
  <c r="AD68" i="3"/>
  <c r="AD44" i="3"/>
  <c r="AD20" i="3"/>
  <c r="AD63" i="3"/>
  <c r="L58" i="3"/>
  <c r="AD15" i="3"/>
  <c r="AD47" i="3"/>
  <c r="AD14" i="3"/>
  <c r="AD62" i="3"/>
  <c r="L57" i="3"/>
  <c r="AD64" i="3"/>
  <c r="AD16" i="3"/>
  <c r="L60" i="3"/>
  <c r="J57" i="3"/>
  <c r="AS56" i="3" s="1"/>
  <c r="BL14" i="3" s="1"/>
  <c r="J59" i="3"/>
  <c r="AE88" i="3" s="1"/>
  <c r="AQ88" i="3" s="1"/>
  <c r="AD46" i="3"/>
  <c r="M60" i="3"/>
  <c r="O57" i="3"/>
  <c r="N60" i="3"/>
  <c r="M57" i="3"/>
  <c r="AD23" i="3"/>
  <c r="AD65" i="3"/>
  <c r="AD51" i="3"/>
  <c r="O58" i="3"/>
  <c r="N57" i="3"/>
  <c r="J60" i="3"/>
  <c r="J58" i="3"/>
  <c r="AS57" i="3" s="1"/>
  <c r="BL47" i="3" s="1"/>
  <c r="BS45" i="3" s="1"/>
  <c r="BZ48" i="3" s="1"/>
  <c r="O59" i="3"/>
  <c r="AD45" i="3"/>
  <c r="AD40" i="3"/>
  <c r="AD52" i="3"/>
  <c r="AD38" i="3"/>
  <c r="AD50" i="3"/>
  <c r="N59" i="3"/>
  <c r="AD17" i="3"/>
  <c r="O9" i="3"/>
  <c r="N9" i="3"/>
  <c r="M9" i="3"/>
  <c r="J9" i="3"/>
  <c r="AS8" i="3" s="1"/>
  <c r="BL50" i="3" s="1"/>
  <c r="L9" i="3"/>
  <c r="L33" i="3" l="1"/>
  <c r="P33" i="3" s="1"/>
  <c r="N33" i="3"/>
  <c r="J33" i="3"/>
  <c r="AS32" i="3" s="1"/>
  <c r="BL10" i="3" s="1"/>
  <c r="O33" i="3"/>
  <c r="J36" i="3"/>
  <c r="P58" i="3"/>
  <c r="M34" i="3"/>
  <c r="N12" i="3"/>
  <c r="N36" i="3"/>
  <c r="M36" i="3"/>
  <c r="N34" i="3"/>
  <c r="O36" i="3"/>
  <c r="L36" i="3"/>
  <c r="L34" i="3"/>
  <c r="O35" i="3"/>
  <c r="N35" i="3"/>
  <c r="O10" i="3"/>
  <c r="M12" i="3"/>
  <c r="O34" i="3"/>
  <c r="N10" i="3"/>
  <c r="M35" i="3"/>
  <c r="L12" i="3"/>
  <c r="M10" i="3"/>
  <c r="J35" i="3"/>
  <c r="AE84" i="3" s="1"/>
  <c r="AQ84" i="3" s="1"/>
  <c r="L11" i="3"/>
  <c r="O12" i="3"/>
  <c r="L35" i="3"/>
  <c r="J34" i="3"/>
  <c r="AS33" i="3" s="1"/>
  <c r="BL46" i="3" s="1"/>
  <c r="J12" i="3"/>
  <c r="J11" i="3"/>
  <c r="AE80" i="3" s="1"/>
  <c r="AQ80" i="3" s="1"/>
  <c r="O11" i="3"/>
  <c r="L10" i="3"/>
  <c r="J29" i="3"/>
  <c r="AE83" i="3" s="1"/>
  <c r="AQ83" i="3" s="1"/>
  <c r="O30" i="3"/>
  <c r="M28" i="3"/>
  <c r="L29" i="3"/>
  <c r="N29" i="3"/>
  <c r="M30" i="3"/>
  <c r="M27" i="3"/>
  <c r="N27" i="3"/>
  <c r="J28" i="3"/>
  <c r="AS27" i="3" s="1"/>
  <c r="BL62" i="3" s="1"/>
  <c r="M29" i="3"/>
  <c r="J27" i="3"/>
  <c r="AS26" i="3" s="1"/>
  <c r="BL34" i="3" s="1"/>
  <c r="L30" i="3"/>
  <c r="N30" i="3"/>
  <c r="N28" i="3"/>
  <c r="J30" i="3"/>
  <c r="J10" i="3"/>
  <c r="AS9" i="3" s="1"/>
  <c r="BL18" i="3" s="1"/>
  <c r="O29" i="3"/>
  <c r="M11" i="3"/>
  <c r="N11" i="3"/>
  <c r="O28" i="3"/>
  <c r="L28" i="3"/>
  <c r="L27" i="3"/>
  <c r="O45" i="3"/>
  <c r="K59" i="3"/>
  <c r="L39" i="3"/>
  <c r="N78" i="3"/>
  <c r="M77" i="3"/>
  <c r="J18" i="3"/>
  <c r="J45" i="3"/>
  <c r="AS44" i="3" s="1"/>
  <c r="BL38" i="3" s="1"/>
  <c r="L45" i="3"/>
  <c r="M45" i="3"/>
  <c r="AJ88" i="3"/>
  <c r="O16" i="3"/>
  <c r="O24" i="3"/>
  <c r="O77" i="3"/>
  <c r="M76" i="3"/>
  <c r="J77" i="3"/>
  <c r="AE91" i="3" s="1"/>
  <c r="AQ91" i="3" s="1"/>
  <c r="N45" i="3"/>
  <c r="O48" i="3"/>
  <c r="M21" i="3"/>
  <c r="J21" i="3"/>
  <c r="AS20" i="3" s="1"/>
  <c r="BL42" i="3" s="1"/>
  <c r="BS44" i="3" s="1"/>
  <c r="N21" i="3"/>
  <c r="L65" i="3"/>
  <c r="L21" i="3"/>
  <c r="L16" i="3"/>
  <c r="N51" i="3"/>
  <c r="L76" i="3"/>
  <c r="J24" i="3"/>
  <c r="O54" i="3"/>
  <c r="M75" i="3"/>
  <c r="L23" i="3"/>
  <c r="J78" i="3"/>
  <c r="N76" i="3"/>
  <c r="N22" i="3"/>
  <c r="O22" i="3"/>
  <c r="N77" i="3"/>
  <c r="O21" i="3"/>
  <c r="P59" i="3"/>
  <c r="L22" i="3"/>
  <c r="J75" i="3"/>
  <c r="AS74" i="3" s="1"/>
  <c r="BL54" i="3" s="1"/>
  <c r="N75" i="3"/>
  <c r="O76" i="3"/>
  <c r="O75" i="3"/>
  <c r="M39" i="3"/>
  <c r="N24" i="3"/>
  <c r="M24" i="3"/>
  <c r="L77" i="3"/>
  <c r="J76" i="3"/>
  <c r="AS75" i="3" s="1"/>
  <c r="BL27" i="3" s="1"/>
  <c r="O78" i="3"/>
  <c r="L75" i="3"/>
  <c r="N41" i="3"/>
  <c r="L78" i="3"/>
  <c r="J64" i="3"/>
  <c r="AS63" i="3" s="1"/>
  <c r="BL31" i="3" s="1"/>
  <c r="M78" i="3"/>
  <c r="N64" i="3"/>
  <c r="J54" i="3"/>
  <c r="J22" i="3"/>
  <c r="AS21" i="3" s="1"/>
  <c r="BL23" i="3" s="1"/>
  <c r="M71" i="3"/>
  <c r="J69" i="3"/>
  <c r="AS68" i="3" s="1"/>
  <c r="BL70" i="3" s="1"/>
  <c r="L71" i="3"/>
  <c r="L70" i="3"/>
  <c r="J70" i="3"/>
  <c r="AS69" i="3" s="1"/>
  <c r="BL26" i="3" s="1"/>
  <c r="K57" i="3"/>
  <c r="O70" i="3"/>
  <c r="M72" i="3"/>
  <c r="M69" i="3"/>
  <c r="N70" i="3"/>
  <c r="M70" i="3"/>
  <c r="J72" i="3"/>
  <c r="O72" i="3"/>
  <c r="L69" i="3"/>
  <c r="O71" i="3"/>
  <c r="L24" i="3"/>
  <c r="J71" i="3"/>
  <c r="AE90" i="3" s="1"/>
  <c r="AQ90" i="3" s="1"/>
  <c r="O69" i="3"/>
  <c r="N72" i="3"/>
  <c r="N69" i="3"/>
  <c r="L72" i="3"/>
  <c r="N71" i="3"/>
  <c r="M22" i="3"/>
  <c r="J63" i="3"/>
  <c r="AS62" i="3" s="1"/>
  <c r="BL58" i="3" s="1"/>
  <c r="BS60" i="3" s="1"/>
  <c r="BZ64" i="3" s="1"/>
  <c r="O64" i="3"/>
  <c r="O51" i="3"/>
  <c r="L51" i="3"/>
  <c r="O39" i="3"/>
  <c r="O18" i="3"/>
  <c r="J65" i="3"/>
  <c r="AE89" i="3" s="1"/>
  <c r="AQ89" i="3" s="1"/>
  <c r="N54" i="3"/>
  <c r="J66" i="3"/>
  <c r="L64" i="3"/>
  <c r="L53" i="3"/>
  <c r="M54" i="3"/>
  <c r="L40" i="3"/>
  <c r="N16" i="3"/>
  <c r="O63" i="3"/>
  <c r="O23" i="3"/>
  <c r="M18" i="3"/>
  <c r="O41" i="3"/>
  <c r="O66" i="3"/>
  <c r="J16" i="3"/>
  <c r="AS15" i="3" s="1"/>
  <c r="BL19" i="3" s="1"/>
  <c r="J48" i="3"/>
  <c r="M51" i="3"/>
  <c r="N23" i="3"/>
  <c r="N17" i="3"/>
  <c r="M66" i="3"/>
  <c r="O53" i="3"/>
  <c r="O40" i="3"/>
  <c r="L66" i="3"/>
  <c r="L63" i="3"/>
  <c r="O52" i="3"/>
  <c r="L41" i="3"/>
  <c r="O17" i="3"/>
  <c r="K58" i="3"/>
  <c r="N66" i="3"/>
  <c r="M41" i="3"/>
  <c r="O65" i="3"/>
  <c r="L52" i="3"/>
  <c r="J51" i="3"/>
  <c r="AS50" i="3" s="1"/>
  <c r="BL30" i="3" s="1"/>
  <c r="N39" i="3"/>
  <c r="J17" i="3"/>
  <c r="AE81" i="3" s="1"/>
  <c r="AQ81" i="3" s="1"/>
  <c r="M64" i="3"/>
  <c r="J52" i="3"/>
  <c r="AS51" i="3" s="1"/>
  <c r="BL59" i="3" s="1"/>
  <c r="M63" i="3"/>
  <c r="N65" i="3"/>
  <c r="L54" i="3"/>
  <c r="M52" i="3"/>
  <c r="J39" i="3"/>
  <c r="AS38" i="3" s="1"/>
  <c r="BL22" i="3" s="1"/>
  <c r="M23" i="3"/>
  <c r="J23" i="3"/>
  <c r="AE82" i="3" s="1"/>
  <c r="AQ82" i="3" s="1"/>
  <c r="AL88" i="3"/>
  <c r="J53" i="3"/>
  <c r="AE87" i="3" s="1"/>
  <c r="AQ87" i="3" s="1"/>
  <c r="M40" i="3"/>
  <c r="N63" i="3"/>
  <c r="N53" i="3"/>
  <c r="J40" i="3"/>
  <c r="AS39" i="3" s="1"/>
  <c r="BL43" i="3" s="1"/>
  <c r="M65" i="3"/>
  <c r="M53" i="3"/>
  <c r="M42" i="3"/>
  <c r="N52" i="3"/>
  <c r="N40" i="3"/>
  <c r="J42" i="3"/>
  <c r="L18" i="3"/>
  <c r="AI88" i="3"/>
  <c r="AN88" i="3"/>
  <c r="M48" i="3"/>
  <c r="N46" i="3"/>
  <c r="O42" i="3"/>
  <c r="J41" i="3"/>
  <c r="AE85" i="3" s="1"/>
  <c r="AQ85" i="3" s="1"/>
  <c r="L17" i="3"/>
  <c r="AG88" i="3"/>
  <c r="M47" i="3"/>
  <c r="AF88" i="3"/>
  <c r="L46" i="3"/>
  <c r="L47" i="3"/>
  <c r="N47" i="3"/>
  <c r="N18" i="3"/>
  <c r="M16" i="3"/>
  <c r="P16" i="3" s="1"/>
  <c r="N15" i="3"/>
  <c r="L48" i="3"/>
  <c r="AH88" i="3"/>
  <c r="N48" i="3"/>
  <c r="J46" i="3"/>
  <c r="AS45" i="3" s="1"/>
  <c r="BL63" i="3" s="1"/>
  <c r="L42" i="3"/>
  <c r="M17" i="3"/>
  <c r="L15" i="3"/>
  <c r="O46" i="3"/>
  <c r="O47" i="3"/>
  <c r="J47" i="3"/>
  <c r="AE86" i="3" s="1"/>
  <c r="AQ86" i="3" s="1"/>
  <c r="P57" i="3"/>
  <c r="M46" i="3"/>
  <c r="AT88" i="3"/>
  <c r="N42" i="3"/>
  <c r="P60" i="3"/>
  <c r="K60" i="3"/>
  <c r="M15" i="3"/>
  <c r="O15" i="3"/>
  <c r="J15" i="3"/>
  <c r="AS14" i="3" s="1"/>
  <c r="BL66" i="3" s="1"/>
  <c r="P9" i="3"/>
  <c r="K9" i="3"/>
  <c r="K33" i="3" l="1"/>
  <c r="S86" i="3"/>
  <c r="T86" i="3" s="1" a="1"/>
  <c r="T86" i="3" s="1"/>
  <c r="BS28" i="3"/>
  <c r="BS61" i="3"/>
  <c r="S90" i="3"/>
  <c r="T90" i="3" s="1" a="1"/>
  <c r="T90" i="3" s="1"/>
  <c r="BS36" i="3"/>
  <c r="S87" i="3"/>
  <c r="T87" i="3" s="1" a="1"/>
  <c r="T87" i="3" s="1"/>
  <c r="BS29" i="3"/>
  <c r="S91" i="3"/>
  <c r="T91" i="3" s="1" a="1"/>
  <c r="T91" i="3" s="1"/>
  <c r="BS37" i="3"/>
  <c r="P36" i="3"/>
  <c r="P34" i="3"/>
  <c r="K36" i="3"/>
  <c r="S89" i="3"/>
  <c r="T89" i="3" s="1" a="1"/>
  <c r="T89" i="3" s="1"/>
  <c r="BS21" i="3"/>
  <c r="K34" i="3"/>
  <c r="S88" i="3"/>
  <c r="T88" i="3" s="1" a="1"/>
  <c r="T88" i="3" s="1"/>
  <c r="BS20" i="3"/>
  <c r="AJ83" i="3"/>
  <c r="AN84" i="3"/>
  <c r="K12" i="3"/>
  <c r="AL84" i="3"/>
  <c r="AJ84" i="3"/>
  <c r="AT84" i="3"/>
  <c r="P12" i="3"/>
  <c r="P71" i="3"/>
  <c r="P35" i="3"/>
  <c r="AI84" i="3"/>
  <c r="K35" i="3"/>
  <c r="P28" i="3"/>
  <c r="AH84" i="3"/>
  <c r="AG84" i="3"/>
  <c r="P11" i="3"/>
  <c r="AF84" i="3"/>
  <c r="AF80" i="3"/>
  <c r="AJ80" i="3"/>
  <c r="AL80" i="3"/>
  <c r="AN80" i="3"/>
  <c r="AI80" i="3"/>
  <c r="AH80" i="3"/>
  <c r="AG80" i="3"/>
  <c r="P10" i="3"/>
  <c r="AI83" i="3"/>
  <c r="AH83" i="3"/>
  <c r="AG83" i="3"/>
  <c r="K10" i="3"/>
  <c r="AT83" i="3"/>
  <c r="P39" i="3"/>
  <c r="AN83" i="3"/>
  <c r="AT80" i="3"/>
  <c r="AL83" i="3"/>
  <c r="AF83" i="3"/>
  <c r="K28" i="3"/>
  <c r="K27" i="3"/>
  <c r="P29" i="3"/>
  <c r="P45" i="3"/>
  <c r="K30" i="3"/>
  <c r="P30" i="3"/>
  <c r="K29" i="3"/>
  <c r="P27" i="3"/>
  <c r="K11" i="3"/>
  <c r="K40" i="3"/>
  <c r="P21" i="3"/>
  <c r="P77" i="3"/>
  <c r="K39" i="3"/>
  <c r="K45" i="3"/>
  <c r="AL82" i="3"/>
  <c r="P54" i="3"/>
  <c r="K65" i="3"/>
  <c r="K78" i="3"/>
  <c r="AN91" i="3"/>
  <c r="K21" i="3"/>
  <c r="P78" i="3"/>
  <c r="AT91" i="3"/>
  <c r="AJ91" i="3"/>
  <c r="AL91" i="3"/>
  <c r="K75" i="3"/>
  <c r="AI91" i="3"/>
  <c r="K54" i="3"/>
  <c r="AF91" i="3"/>
  <c r="P76" i="3"/>
  <c r="AH91" i="3"/>
  <c r="AG91" i="3"/>
  <c r="AN89" i="3"/>
  <c r="AL89" i="3"/>
  <c r="K42" i="3"/>
  <c r="K72" i="3"/>
  <c r="P65" i="3"/>
  <c r="AT85" i="3"/>
  <c r="AN85" i="3"/>
  <c r="AG89" i="3"/>
  <c r="AJ89" i="3"/>
  <c r="AJ85" i="3"/>
  <c r="P72" i="3"/>
  <c r="AH85" i="3"/>
  <c r="AF90" i="3"/>
  <c r="P69" i="3"/>
  <c r="P47" i="3"/>
  <c r="K76" i="3"/>
  <c r="AF87" i="3"/>
  <c r="P23" i="3"/>
  <c r="P22" i="3"/>
  <c r="K77" i="3"/>
  <c r="K22" i="3"/>
  <c r="AL85" i="3"/>
  <c r="AJ82" i="3"/>
  <c r="P75" i="3"/>
  <c r="P64" i="3"/>
  <c r="P24" i="3"/>
  <c r="P70" i="3"/>
  <c r="K69" i="3"/>
  <c r="P18" i="3"/>
  <c r="AF89" i="3"/>
  <c r="K41" i="3"/>
  <c r="K23" i="3"/>
  <c r="AT86" i="3"/>
  <c r="AN81" i="3"/>
  <c r="K70" i="3"/>
  <c r="AT81" i="3"/>
  <c r="AL81" i="3"/>
  <c r="AG87" i="3"/>
  <c r="AJ81" i="3"/>
  <c r="AL86" i="3"/>
  <c r="P66" i="3"/>
  <c r="P40" i="3"/>
  <c r="AI81" i="3"/>
  <c r="K24" i="3"/>
  <c r="AH81" i="3"/>
  <c r="P46" i="3"/>
  <c r="K71" i="3"/>
  <c r="AJ86" i="3"/>
  <c r="AF86" i="3"/>
  <c r="AN90" i="3"/>
  <c r="K47" i="3"/>
  <c r="K18" i="3"/>
  <c r="AT87" i="3"/>
  <c r="AJ90" i="3"/>
  <c r="K51" i="3"/>
  <c r="K64" i="3"/>
  <c r="AI85" i="3"/>
  <c r="AJ87" i="3"/>
  <c r="AI90" i="3"/>
  <c r="AN86" i="3"/>
  <c r="AT90" i="3"/>
  <c r="AG81" i="3"/>
  <c r="AH90" i="3"/>
  <c r="AL90" i="3"/>
  <c r="AT82" i="3"/>
  <c r="AI87" i="3"/>
  <c r="AN82" i="3"/>
  <c r="AH87" i="3"/>
  <c r="AG90" i="3"/>
  <c r="P53" i="3"/>
  <c r="P52" i="3"/>
  <c r="K66" i="3"/>
  <c r="P41" i="3"/>
  <c r="AH82" i="3"/>
  <c r="K16" i="3"/>
  <c r="P63" i="3"/>
  <c r="K48" i="3"/>
  <c r="AG82" i="3"/>
  <c r="P48" i="3"/>
  <c r="AI82" i="3"/>
  <c r="P42" i="3"/>
  <c r="AF82" i="3"/>
  <c r="AT89" i="3"/>
  <c r="P17" i="3"/>
  <c r="P51" i="3"/>
  <c r="K53" i="3"/>
  <c r="K52" i="3"/>
  <c r="AF81" i="3"/>
  <c r="AH86" i="3"/>
  <c r="AN87" i="3"/>
  <c r="K63" i="3"/>
  <c r="AI89" i="3"/>
  <c r="AI86" i="3"/>
  <c r="AG86" i="3"/>
  <c r="AL87" i="3"/>
  <c r="AH89" i="3"/>
  <c r="K15" i="3"/>
  <c r="K46" i="3"/>
  <c r="AG85" i="3"/>
  <c r="AF85" i="3"/>
  <c r="K17" i="3"/>
  <c r="P15" i="3"/>
  <c r="S98" i="3" l="1"/>
  <c r="T98" i="3" s="1" a="1"/>
  <c r="T98" i="3" s="1"/>
  <c r="BZ33" i="3"/>
  <c r="U103" i="3" s="1"/>
  <c r="AC103" i="3" s="1" a="1"/>
  <c r="AC103" i="3" s="1"/>
  <c r="S97" i="3"/>
  <c r="T97" i="3" s="1" a="1"/>
  <c r="T97" i="3" s="1"/>
  <c r="BZ32" i="3"/>
  <c r="BZ17" i="3"/>
  <c r="U102" i="3" s="1"/>
  <c r="AC102" i="3" s="1" a="1"/>
  <c r="AC102" i="3" s="1"/>
  <c r="S96" i="3"/>
  <c r="T96" i="3" s="1" a="1"/>
  <c r="T96" i="3" s="1"/>
  <c r="AJ92" i="3"/>
  <c r="AH92" i="3"/>
  <c r="AL92" i="3"/>
  <c r="AM88" i="3" s="1"/>
  <c r="AF92" i="3"/>
  <c r="AN92" i="3"/>
  <c r="AI92" i="3"/>
  <c r="AS92" i="3"/>
  <c r="AG92" i="3"/>
  <c r="S103" i="3" l="1"/>
  <c r="T103" i="3" s="1" a="1"/>
  <c r="T103" i="3" s="1"/>
  <c r="CG24" i="3"/>
  <c r="S111" i="3" s="1"/>
  <c r="T111" i="3" s="1"/>
  <c r="AM90" i="3"/>
  <c r="AM82" i="3"/>
  <c r="AM83" i="3"/>
  <c r="AM91" i="3"/>
  <c r="AM86" i="3"/>
  <c r="AM84" i="3"/>
  <c r="AM85" i="3"/>
  <c r="AM87" i="3"/>
  <c r="AM81" i="3"/>
  <c r="AM80" i="3"/>
  <c r="AM89" i="3"/>
  <c r="S85" i="3"/>
  <c r="T85" i="3" s="1" a="1"/>
  <c r="T85" i="3" s="1"/>
  <c r="BS13" i="3"/>
  <c r="AM92" i="3" l="1"/>
  <c r="AP87" i="3" s="1"/>
  <c r="BZ16" i="3"/>
  <c r="S95" i="3"/>
  <c r="T95" i="3" s="1" a="1"/>
  <c r="T95" i="3" s="1"/>
  <c r="S102" i="3" l="1"/>
  <c r="T102" i="3" s="1" a="1"/>
  <c r="T102" i="3" s="1"/>
  <c r="CG23" i="3"/>
  <c r="AP80" i="3"/>
  <c r="AP85" i="3"/>
  <c r="AP91" i="3"/>
  <c r="AP83" i="3"/>
  <c r="AP82" i="3"/>
  <c r="AP88" i="3"/>
  <c r="AP90" i="3"/>
  <c r="AP89" i="3"/>
  <c r="AP86" i="3"/>
  <c r="AP84" i="3"/>
  <c r="AP81" i="3"/>
  <c r="CN37" i="3" l="1"/>
  <c r="CK68" i="3" s="1"/>
  <c r="CN48" i="3"/>
  <c r="AD85" i="3"/>
  <c r="AS85" i="3" s="1"/>
  <c r="AD89" i="3"/>
  <c r="AS89" i="3" s="1"/>
  <c r="AD82" i="3"/>
  <c r="AS82" i="3" s="1"/>
  <c r="AD88" i="3"/>
  <c r="AS88" i="3" s="1"/>
  <c r="AD84" i="3"/>
  <c r="AS84" i="3" s="1"/>
  <c r="AD86" i="3"/>
  <c r="AS86" i="3" s="1"/>
  <c r="AD80" i="3"/>
  <c r="AD83" i="3"/>
  <c r="AS83" i="3" s="1"/>
  <c r="AD87" i="3"/>
  <c r="AS87" i="3" s="1"/>
  <c r="AD81" i="3"/>
  <c r="AS81" i="3" s="1"/>
  <c r="AD90" i="3"/>
  <c r="AS90" i="3" s="1"/>
  <c r="AD91" i="3"/>
  <c r="AS91" i="3" s="1"/>
  <c r="M92" i="3" l="1"/>
  <c r="O83" i="3"/>
  <c r="M90" i="3"/>
  <c r="AS80" i="3"/>
  <c r="O81" i="3"/>
  <c r="L91" i="3"/>
  <c r="J84" i="3"/>
  <c r="M91" i="3"/>
  <c r="M88" i="3"/>
  <c r="M86" i="3"/>
  <c r="J90" i="3"/>
  <c r="O84" i="3"/>
  <c r="N91" i="3"/>
  <c r="M85" i="3"/>
  <c r="M87" i="3"/>
  <c r="L82" i="3"/>
  <c r="N82" i="3"/>
  <c r="L87" i="3"/>
  <c r="L90" i="3"/>
  <c r="O87" i="3"/>
  <c r="N86" i="3"/>
  <c r="J89" i="3"/>
  <c r="J85" i="3"/>
  <c r="N88" i="3"/>
  <c r="J81" i="3"/>
  <c r="O86" i="3"/>
  <c r="L84" i="3"/>
  <c r="J92" i="3"/>
  <c r="O85" i="3"/>
  <c r="M82" i="3"/>
  <c r="L92" i="3"/>
  <c r="O88" i="3"/>
  <c r="N85" i="3"/>
  <c r="M89" i="3"/>
  <c r="N89" i="3"/>
  <c r="O90" i="3"/>
  <c r="J87" i="3"/>
  <c r="L89" i="3"/>
  <c r="J82" i="3"/>
  <c r="O89" i="3"/>
  <c r="O91" i="3"/>
  <c r="L88" i="3"/>
  <c r="N92" i="3"/>
  <c r="N90" i="3"/>
  <c r="L85" i="3"/>
  <c r="M84" i="3"/>
  <c r="M83" i="3"/>
  <c r="L81" i="3"/>
  <c r="M81" i="3"/>
  <c r="O82" i="3"/>
  <c r="N87" i="3"/>
  <c r="J88" i="3"/>
  <c r="N84" i="3"/>
  <c r="J91" i="3"/>
  <c r="N83" i="3"/>
  <c r="AR80" i="3"/>
  <c r="AR81" i="3" s="1"/>
  <c r="AR82" i="3" s="1"/>
  <c r="AR83" i="3" s="1"/>
  <c r="AR84" i="3" s="1"/>
  <c r="AR85" i="3" s="1"/>
  <c r="AR86" i="3" s="1"/>
  <c r="AR87" i="3" s="1"/>
  <c r="AR88" i="3" s="1"/>
  <c r="AR89" i="3" s="1"/>
  <c r="AR90" i="3" s="1"/>
  <c r="AR91" i="3" s="1"/>
  <c r="C3" i="4" s="1"/>
  <c r="F3" i="4" s="1"/>
  <c r="BL35" i="3" s="1"/>
  <c r="N81" i="3"/>
  <c r="L83" i="3"/>
  <c r="J83" i="3"/>
  <c r="L86" i="3"/>
  <c r="K86" i="3" s="1"/>
  <c r="O92" i="3"/>
  <c r="J86" i="3"/>
  <c r="K88" i="3" l="1"/>
  <c r="P83" i="3"/>
  <c r="P81" i="3"/>
  <c r="P87" i="3"/>
  <c r="P84" i="3"/>
  <c r="P92" i="3"/>
  <c r="K82" i="3"/>
  <c r="P82" i="3"/>
  <c r="P88" i="3"/>
  <c r="K91" i="3"/>
  <c r="P91" i="3"/>
  <c r="P86" i="3"/>
  <c r="K84" i="3"/>
  <c r="K87" i="3"/>
  <c r="K90" i="3"/>
  <c r="K92" i="3"/>
  <c r="P89" i="3"/>
  <c r="K85" i="3"/>
  <c r="E3" i="4"/>
  <c r="BL67" i="3" s="1"/>
  <c r="K81" i="3"/>
  <c r="K3" i="4"/>
  <c r="BL55" i="3" s="1"/>
  <c r="K89" i="3"/>
  <c r="K83" i="3"/>
  <c r="D3" i="4"/>
  <c r="BL51" i="3" s="1"/>
  <c r="P90" i="3"/>
  <c r="J3" i="4"/>
  <c r="BL71" i="3" s="1"/>
  <c r="P85" i="3"/>
  <c r="H3" i="4"/>
  <c r="BL39" i="3" s="1"/>
  <c r="B3" i="4"/>
  <c r="G3" i="4"/>
  <c r="BL11" i="3" s="1"/>
  <c r="I3" i="4"/>
  <c r="BL15" i="3" s="1"/>
  <c r="BS53" i="3"/>
  <c r="BS52" i="3"/>
  <c r="BZ49" i="3" s="1"/>
  <c r="CG55" i="3" s="1"/>
  <c r="CN49" i="3" s="1"/>
  <c r="BS69" i="3"/>
  <c r="BS68" i="3"/>
  <c r="BZ65" i="3" s="1"/>
  <c r="CG56" i="3" s="1"/>
  <c r="CN38" i="3" s="1"/>
  <c r="BS12" i="3" l="1"/>
  <c r="S84" i="3"/>
  <c r="T84" i="3" s="1" a="1"/>
  <c r="T84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<sst xmlns="http://schemas.openxmlformats.org/spreadsheetml/2006/main" count="9786" uniqueCount="3698">
  <si>
    <t>English</t>
  </si>
  <si>
    <t>Albanian</t>
  </si>
  <si>
    <t>Arabic</t>
  </si>
  <si>
    <t>Armenian</t>
  </si>
  <si>
    <t>Azerbaijan</t>
  </si>
  <si>
    <t>Bulgarian</t>
  </si>
  <si>
    <t>Català</t>
  </si>
  <si>
    <t>Chinese (Simplified)</t>
  </si>
  <si>
    <t>Chinese (Traditional)</t>
  </si>
  <si>
    <t>Croatian</t>
  </si>
  <si>
    <t>Czech</t>
  </si>
  <si>
    <t>Danish</t>
  </si>
  <si>
    <t>Dutch</t>
  </si>
  <si>
    <t>Faroese</t>
  </si>
  <si>
    <t>French</t>
  </si>
  <si>
    <t>Georgian</t>
  </si>
  <si>
    <t>German</t>
  </si>
  <si>
    <t>Greek</t>
  </si>
  <si>
    <t>Hebrew</t>
  </si>
  <si>
    <t>Hungarian</t>
  </si>
  <si>
    <t>Indonesia</t>
  </si>
  <si>
    <t>Icelandic</t>
  </si>
  <si>
    <t>Italian</t>
  </si>
  <si>
    <t>Korean</t>
  </si>
  <si>
    <t>Lithuanian</t>
  </si>
  <si>
    <t>Macedonian</t>
  </si>
  <si>
    <t>Maltese</t>
  </si>
  <si>
    <t>Norwegian</t>
  </si>
  <si>
    <t>Persian</t>
  </si>
  <si>
    <t>Polish</t>
  </si>
  <si>
    <t>Portuguese</t>
  </si>
  <si>
    <t>Romanian</t>
  </si>
  <si>
    <t>Serbian</t>
  </si>
  <si>
    <t>Slovak</t>
  </si>
  <si>
    <t>Slovenian</t>
  </si>
  <si>
    <t>Spanish</t>
  </si>
  <si>
    <t>Swedish</t>
  </si>
  <si>
    <t>Thai</t>
  </si>
  <si>
    <t>Turkish</t>
  </si>
  <si>
    <t>Vietnamese</t>
  </si>
  <si>
    <t>Ukrainian</t>
  </si>
  <si>
    <t>Urdu</t>
  </si>
  <si>
    <t>2026 World Cup Final Tournament Schedule</t>
  </si>
  <si>
    <t>Kupa Botërore 2026</t>
  </si>
  <si>
    <t>جدول مباريات كأس العالم 2026</t>
  </si>
  <si>
    <t xml:space="preserve">Աշխարհի 2026թ. առաջնություն </t>
  </si>
  <si>
    <t>2026 - cu il Dünya Çempionatinin Final Mərhələsinin Cədvəli</t>
  </si>
  <si>
    <t>График на срещите - Световно първенство 2026</t>
  </si>
  <si>
    <t>Calendari de la Fase Final de la Copa del Món de futbol 2026</t>
  </si>
  <si>
    <t>巴西2026年世界杯</t>
  </si>
  <si>
    <t>2026 世界盃賽程</t>
  </si>
  <si>
    <t>Svjetsko prvenstvo 2026 raspored utakmica</t>
  </si>
  <si>
    <t>Mistrovství světa ve fotbale 2026</t>
  </si>
  <si>
    <t>2026 Verdensmesterskabs Oversigt</t>
  </si>
  <si>
    <t>Wereldkampioenschap 2026 Toernooischema</t>
  </si>
  <si>
    <t>2026 Heimsmeistarakappingaryvirlit</t>
  </si>
  <si>
    <t>Coupe du Monde de la FIFA 2026 - Calendrier des matchs</t>
  </si>
  <si>
    <t>მსოფლიო ჩემპიონატი ფეხბურთში - სამხრეთ აფრიკა 2026</t>
  </si>
  <si>
    <t>Spielplan Weltmeisterschafts endrunde 2026</t>
  </si>
  <si>
    <t>Πρόγραμμα Τελικών Παγκοσμίου Κυπέλλου 2026</t>
  </si>
  <si>
    <t>2026 גביע העולם טורניר הגמר תזמן</t>
  </si>
  <si>
    <t>2026 Labdarúgó-világbajnokság döntő sorozata</t>
  </si>
  <si>
    <t>Jadwal Turnamen Final Piala Dunia 2026</t>
  </si>
  <si>
    <t>HM 2026 lokakeppnin</t>
  </si>
  <si>
    <t>Calendario Coppa del mondo 2026</t>
  </si>
  <si>
    <t>2026 월드컵 최종 토너먼트 일정</t>
  </si>
  <si>
    <t>2026 Pasaulio Futbolo Čempionato Tvarkaraštis</t>
  </si>
  <si>
    <t>Светско првенство 2026 - Распоред на натпревари</t>
  </si>
  <si>
    <t>Skeda tat-Tazza tad-Dinja 2026</t>
  </si>
  <si>
    <t>Verdensmesterskapet i fotball 2026</t>
  </si>
  <si>
    <t>جدول مسابقات فینال جام جهانی 2026</t>
  </si>
  <si>
    <t>2026 Mistrzostwa Świata Terminarz Meczów</t>
  </si>
  <si>
    <t>Calendário Fase Final Mundial 2026</t>
  </si>
  <si>
    <t>Programul Turneului Final FIFA World Cup 2026</t>
  </si>
  <si>
    <t>Svetsko prvenstvo u fudbalu 2026 - Raspored utakmica</t>
  </si>
  <si>
    <t>Majstrovstvá sveta vo futbale 2026</t>
  </si>
  <si>
    <t>Svetovno prvenstvo 2026 razpored tekem</t>
  </si>
  <si>
    <t>Copa Mundial de Fútbol - Brasil 2026</t>
  </si>
  <si>
    <t>Schema för VM-slutspelet 2026</t>
  </si>
  <si>
    <t>ตารางการแข่งขันฟุตบอลโลก 2026</t>
  </si>
  <si>
    <t>2026 Dünya Kupası Finalleri Turnuva Fikstürü</t>
  </si>
  <si>
    <t>Lịch Thi Đấu Cúp Bóng Đá Thế Giới 2026</t>
  </si>
  <si>
    <t>Календар Чемпіонату Світу 2026</t>
  </si>
  <si>
    <t>۲۰۱۰ فٹبال عالمی کپ ٹورنمنٹ کا خاکہ</t>
  </si>
  <si>
    <t>Group Stage</t>
  </si>
  <si>
    <t>Grupet</t>
  </si>
  <si>
    <t>الدور الأول</t>
  </si>
  <si>
    <t>Խմբային փուլ</t>
  </si>
  <si>
    <t>Qrup Mərhələsi</t>
  </si>
  <si>
    <t>Групова фаза</t>
  </si>
  <si>
    <t>Fase de grups</t>
  </si>
  <si>
    <t>小组赛阶段</t>
  </si>
  <si>
    <t>分組賽</t>
  </si>
  <si>
    <t>Prvi krug</t>
  </si>
  <si>
    <t>Základní skupiny</t>
  </si>
  <si>
    <t>Gruppespil</t>
  </si>
  <si>
    <t>Groepsfase</t>
  </si>
  <si>
    <t>Bólkaspæl</t>
  </si>
  <si>
    <t>Phase de groupes</t>
  </si>
  <si>
    <t>ჯგუფური ეტაპი</t>
  </si>
  <si>
    <t>Gruppenphase</t>
  </si>
  <si>
    <t>Φάση Ομίλων</t>
  </si>
  <si>
    <t>שלב הבתים</t>
  </si>
  <si>
    <t>Csoportkörök</t>
  </si>
  <si>
    <t>Babak Kualifikasi</t>
  </si>
  <si>
    <t>Riðlakeppnin</t>
  </si>
  <si>
    <t>Fase a gironi</t>
  </si>
  <si>
    <t>조별 리그</t>
  </si>
  <si>
    <t>Grupės Etapas</t>
  </si>
  <si>
    <t>Фаза по групи</t>
  </si>
  <si>
    <t>Fażi tal-Gruppi</t>
  </si>
  <si>
    <t>Gruppespill</t>
  </si>
  <si>
    <t>مرحله گروهی</t>
  </si>
  <si>
    <t>Faza Grupowa</t>
  </si>
  <si>
    <t>Fase de grupos</t>
  </si>
  <si>
    <t>Faza Grupelor</t>
  </si>
  <si>
    <t>Grupno takmičenje</t>
  </si>
  <si>
    <t>Skupinová fáza</t>
  </si>
  <si>
    <t>Skupinski del</t>
  </si>
  <si>
    <t>Gruppspel</t>
  </si>
  <si>
    <t>รอบแรก</t>
  </si>
  <si>
    <t>Grup Aşaması</t>
  </si>
  <si>
    <t>Vòng Bảng</t>
  </si>
  <si>
    <t>Груповий етап</t>
  </si>
  <si>
    <t>گروپ بندی</t>
  </si>
  <si>
    <t>Round of 16</t>
  </si>
  <si>
    <t>Rundi I 16</t>
  </si>
  <si>
    <t>دور الستة عشر</t>
  </si>
  <si>
    <t>1/8 Եզրափակիչ</t>
  </si>
  <si>
    <t>16-da bir raund</t>
  </si>
  <si>
    <t>1/8 - финали</t>
  </si>
  <si>
    <t>Vuitens de final</t>
  </si>
  <si>
    <t>16强赛</t>
  </si>
  <si>
    <t>十六強</t>
  </si>
  <si>
    <t>Drugi krug</t>
  </si>
  <si>
    <t>Osmifinále</t>
  </si>
  <si>
    <t>Runde af 16</t>
  </si>
  <si>
    <t>Achtste finales</t>
  </si>
  <si>
    <t>Áttandapartsfinala</t>
  </si>
  <si>
    <t>Huitièmes de finale</t>
  </si>
  <si>
    <t>მერვედფინალი</t>
  </si>
  <si>
    <t>Achtelfinale</t>
  </si>
  <si>
    <t>Φάση των 16</t>
  </si>
  <si>
    <t>שמינית גמר</t>
  </si>
  <si>
    <t>Nyolcaddöntők</t>
  </si>
  <si>
    <t>Per Delapan Final</t>
  </si>
  <si>
    <t>16 liða úrslit</t>
  </si>
  <si>
    <t>Ottavi di finale</t>
  </si>
  <si>
    <t>16강전</t>
  </si>
  <si>
    <t>16-tuko Raundas</t>
  </si>
  <si>
    <t>1/8 финале</t>
  </si>
  <si>
    <t>L-Aħħar Sittax</t>
  </si>
  <si>
    <t>8-dels finale</t>
  </si>
  <si>
    <t xml:space="preserve"> یک هشتم نهائی</t>
  </si>
  <si>
    <t>1/8 Finału</t>
  </si>
  <si>
    <t>Oitavos de Final</t>
  </si>
  <si>
    <t>Optimi</t>
  </si>
  <si>
    <t>Šesnaestina finala</t>
  </si>
  <si>
    <t>Osemfinále</t>
  </si>
  <si>
    <t>Osminafinala</t>
  </si>
  <si>
    <t>Octavos de final</t>
  </si>
  <si>
    <t>Åttondelsfinal</t>
  </si>
  <si>
    <t>รอบสอง</t>
  </si>
  <si>
    <t>Son 16</t>
  </si>
  <si>
    <t>Vòng 1/16</t>
  </si>
  <si>
    <t>1/8 фіналу</t>
  </si>
  <si>
    <t>سولھواں دور</t>
  </si>
  <si>
    <t>Quarterfinals</t>
  </si>
  <si>
    <t>Qerekfinalja</t>
  </si>
  <si>
    <t>دور الربع نهائي</t>
  </si>
  <si>
    <t>1/4 Եզրափակիչ</t>
  </si>
  <si>
    <t>Dörddə bir Final</t>
  </si>
  <si>
    <t>1/4 - финали</t>
  </si>
  <si>
    <t>Quarts de final</t>
  </si>
  <si>
    <t>8强赛</t>
  </si>
  <si>
    <t>八強</t>
  </si>
  <si>
    <t>Četvrtfinale</t>
  </si>
  <si>
    <t>Čtvrtfinále</t>
  </si>
  <si>
    <t>Kvartfinale</t>
  </si>
  <si>
    <t>Kwartfinales</t>
  </si>
  <si>
    <t>Fjórðingsfinala</t>
  </si>
  <si>
    <t>Quart de Finale</t>
  </si>
  <si>
    <t>მეოთხედფინალი</t>
  </si>
  <si>
    <t>Viertelfinale</t>
  </si>
  <si>
    <t>Προημιτελικοί</t>
  </si>
  <si>
    <t>רבע גמר</t>
  </si>
  <si>
    <t>Negyeddöntők</t>
  </si>
  <si>
    <t>Perempat Final</t>
  </si>
  <si>
    <t>8 liða úrslit</t>
  </si>
  <si>
    <t>Quarti di finale</t>
  </si>
  <si>
    <t>8강전</t>
  </si>
  <si>
    <t>Ketvirtfinaliai</t>
  </si>
  <si>
    <t>1/4 финале</t>
  </si>
  <si>
    <t>Kwarti-Finali</t>
  </si>
  <si>
    <t>یک چهارم نهائی</t>
  </si>
  <si>
    <t>Ćwierćfinały</t>
  </si>
  <si>
    <t>Quartos de Final</t>
  </si>
  <si>
    <t>Sferturi de finala</t>
  </si>
  <si>
    <t>Štvrťfinále</t>
  </si>
  <si>
    <t>Četrtfinale</t>
  </si>
  <si>
    <t>Cuartos de Final</t>
  </si>
  <si>
    <t>Kvartsfinal</t>
  </si>
  <si>
    <t>รอบก่อนรองชนะเลิศ</t>
  </si>
  <si>
    <t>Çeyrek Final</t>
  </si>
  <si>
    <t>Tứ kết</t>
  </si>
  <si>
    <t>Чвертьфінал</t>
  </si>
  <si>
    <t>کواٹر فائنل</t>
  </si>
  <si>
    <t>Semi-Finals</t>
  </si>
  <si>
    <t>Gjysmëfinalja</t>
  </si>
  <si>
    <t>دور النصف نهائي</t>
  </si>
  <si>
    <t>Կիսաեզրափակիչ</t>
  </si>
  <si>
    <t>Yarım Final</t>
  </si>
  <si>
    <t>1/2 - финали</t>
  </si>
  <si>
    <t>Semifinals</t>
  </si>
  <si>
    <t>半决赛</t>
  </si>
  <si>
    <t>準決賽</t>
  </si>
  <si>
    <t>Polufinale</t>
  </si>
  <si>
    <t>Semifinále</t>
  </si>
  <si>
    <t>Semifinale</t>
  </si>
  <si>
    <t>Halve finales</t>
  </si>
  <si>
    <t>Hálvfinala</t>
  </si>
  <si>
    <t>Demi-Finale</t>
  </si>
  <si>
    <t>ნახევარფინალი</t>
  </si>
  <si>
    <t>Halbfinale</t>
  </si>
  <si>
    <t>Ημιτελικοί</t>
  </si>
  <si>
    <t>חצי גמר</t>
  </si>
  <si>
    <t>Elődöntők</t>
  </si>
  <si>
    <t>Semi Final</t>
  </si>
  <si>
    <t>Undanúrslit</t>
  </si>
  <si>
    <t>Semifinali</t>
  </si>
  <si>
    <t>준결승전</t>
  </si>
  <si>
    <t>Pusfinaliai</t>
  </si>
  <si>
    <t>1/2 финале</t>
  </si>
  <si>
    <t>Semi-Finali</t>
  </si>
  <si>
    <t>نیمه نهائی</t>
  </si>
  <si>
    <t>Półfinały</t>
  </si>
  <si>
    <t>Semi-final</t>
  </si>
  <si>
    <t>Polfinale</t>
  </si>
  <si>
    <t>Semifinales</t>
  </si>
  <si>
    <t>Semifinal</t>
  </si>
  <si>
    <t>รอบรองชนะเลิศ</t>
  </si>
  <si>
    <t>Yarı Final</t>
  </si>
  <si>
    <t>Bán kết</t>
  </si>
  <si>
    <t>Півфінал</t>
  </si>
  <si>
    <t>سیمی فائنل</t>
  </si>
  <si>
    <t>Third-Place Play-Off</t>
  </si>
  <si>
    <t>Takimi për vendin e tretë</t>
  </si>
  <si>
    <t>تحديد المركزين الثالث والرابع</t>
  </si>
  <si>
    <t>3-րդ տեղի համար եզրափակիչ</t>
  </si>
  <si>
    <t>Üçüncü Yer Uğrunda</t>
  </si>
  <si>
    <t>Мач за трето място</t>
  </si>
  <si>
    <t>3r i 4t lloc</t>
  </si>
  <si>
    <t>季军赛</t>
  </si>
  <si>
    <t>季軍賽</t>
  </si>
  <si>
    <t>Za treće mjesto</t>
  </si>
  <si>
    <t>Zápas o 3.místo</t>
  </si>
  <si>
    <t>Tredjeplads Kamp</t>
  </si>
  <si>
    <t>Derde en vierde plaats</t>
  </si>
  <si>
    <t>Dystur um 3. pláss</t>
  </si>
  <si>
    <t>Match pour la troisième place</t>
  </si>
  <si>
    <t>მესამე ადგილი</t>
  </si>
  <si>
    <t>Spiel um den dritten Platz</t>
  </si>
  <si>
    <t>Μικρός Τελικός</t>
  </si>
  <si>
    <t>מקום 3-4</t>
  </si>
  <si>
    <t>Bronzmeccs</t>
  </si>
  <si>
    <t>Perebutan Tempat Ketiga</t>
  </si>
  <si>
    <t>Leikur um 3.sæti</t>
  </si>
  <si>
    <t>Finale 3°- 4° posto</t>
  </si>
  <si>
    <t>3,4위전</t>
  </si>
  <si>
    <t>Rungtynės dėl Trečios Vietos</t>
  </si>
  <si>
    <t>Натпревар за трето место</t>
  </si>
  <si>
    <t>Final għat-Tielet u r-Raba' Post</t>
  </si>
  <si>
    <t>Bronsefinale</t>
  </si>
  <si>
    <t>رده بندی</t>
  </si>
  <si>
    <t>Mecz o trzecie miejsce</t>
  </si>
  <si>
    <t>3º/4º lugar</t>
  </si>
  <si>
    <t>Finala mica</t>
  </si>
  <si>
    <t xml:space="preserve">Zápas o 3. miesto </t>
  </si>
  <si>
    <t>Za tretje mesto</t>
  </si>
  <si>
    <t>Tercer puesto</t>
  </si>
  <si>
    <t>Match om tredje pris</t>
  </si>
  <si>
    <t>รอบชิงที่ 3</t>
  </si>
  <si>
    <t>Üçüncülük Maçı</t>
  </si>
  <si>
    <t>Tranh hạng 3</t>
  </si>
  <si>
    <t>Матч за третє місце</t>
  </si>
  <si>
    <t>تیسرے مقام کے لئے کھیل</t>
  </si>
  <si>
    <t>Final</t>
  </si>
  <si>
    <t>Finalja</t>
  </si>
  <si>
    <t>المباراة النهائية</t>
  </si>
  <si>
    <t>Եզրափակիչ</t>
  </si>
  <si>
    <t>Финал</t>
  </si>
  <si>
    <t>总决赛</t>
  </si>
  <si>
    <t>總決賽</t>
  </si>
  <si>
    <t>Finale</t>
  </si>
  <si>
    <t>Finále</t>
  </si>
  <si>
    <t>Finala</t>
  </si>
  <si>
    <t>ფინალი</t>
  </si>
  <si>
    <t>Τελικός</t>
  </si>
  <si>
    <t>גמר</t>
  </si>
  <si>
    <t>Döntő</t>
  </si>
  <si>
    <t>Úrslit</t>
  </si>
  <si>
    <t>결승전</t>
  </si>
  <si>
    <t>Finalas</t>
  </si>
  <si>
    <t>Финале</t>
  </si>
  <si>
    <t>Finali</t>
  </si>
  <si>
    <t>فینال</t>
  </si>
  <si>
    <t>Finał</t>
  </si>
  <si>
    <t>FINALA</t>
  </si>
  <si>
    <t>รอบชิงชนะเลิศ</t>
  </si>
  <si>
    <t>Chung Kết</t>
  </si>
  <si>
    <t>Фінал</t>
  </si>
  <si>
    <t>فائنل</t>
  </si>
  <si>
    <t>Group</t>
  </si>
  <si>
    <t>Grupi</t>
  </si>
  <si>
    <t>المجموعة</t>
  </si>
  <si>
    <t>Խումբ</t>
  </si>
  <si>
    <t>Qrup</t>
  </si>
  <si>
    <t>Група</t>
  </si>
  <si>
    <t>Grup</t>
  </si>
  <si>
    <t>小组</t>
  </si>
  <si>
    <t>小組</t>
  </si>
  <si>
    <t>Grupa</t>
  </si>
  <si>
    <t>Skupina</t>
  </si>
  <si>
    <t>Gruppe</t>
  </si>
  <si>
    <t>Groep</t>
  </si>
  <si>
    <t>Bólkur</t>
  </si>
  <si>
    <t>Groupe</t>
  </si>
  <si>
    <t>ჯგუფი</t>
  </si>
  <si>
    <t>Όμιλος</t>
  </si>
  <si>
    <t>בית</t>
  </si>
  <si>
    <t>Csoport</t>
  </si>
  <si>
    <t>Kelompok</t>
  </si>
  <si>
    <t>Riðill</t>
  </si>
  <si>
    <t>Gruppo</t>
  </si>
  <si>
    <t>그룹</t>
  </si>
  <si>
    <t>Grupė</t>
  </si>
  <si>
    <t>Grupp</t>
  </si>
  <si>
    <t>گروه</t>
  </si>
  <si>
    <t>Grupo</t>
  </si>
  <si>
    <t>สาย</t>
  </si>
  <si>
    <t>Bảng</t>
  </si>
  <si>
    <t>PL</t>
  </si>
  <si>
    <t>L</t>
  </si>
  <si>
    <t>لعب</t>
  </si>
  <si>
    <t>Խ</t>
  </si>
  <si>
    <t>O</t>
  </si>
  <si>
    <t>М</t>
  </si>
  <si>
    <t>J</t>
  </si>
  <si>
    <t>场次</t>
  </si>
  <si>
    <t>賽</t>
  </si>
  <si>
    <t>Z</t>
  </si>
  <si>
    <t>SP</t>
  </si>
  <si>
    <t>WG</t>
  </si>
  <si>
    <t>თ</t>
  </si>
  <si>
    <t>ΑΓ</t>
  </si>
  <si>
    <t>משחקים</t>
  </si>
  <si>
    <t>M</t>
  </si>
  <si>
    <t>Main</t>
  </si>
  <si>
    <t>G</t>
  </si>
  <si>
    <t>경기</t>
  </si>
  <si>
    <t>Žst</t>
  </si>
  <si>
    <t>О</t>
  </si>
  <si>
    <t>S</t>
  </si>
  <si>
    <t>بازی</t>
  </si>
  <si>
    <t>UT</t>
  </si>
  <si>
    <t>Sp</t>
  </si>
  <si>
    <t>แข่ง</t>
  </si>
  <si>
    <t>Trận</t>
  </si>
  <si>
    <t>І</t>
  </si>
  <si>
    <t>کھیلے گئے مقابلے</t>
  </si>
  <si>
    <t>W</t>
  </si>
  <si>
    <t>F</t>
  </si>
  <si>
    <t>فاز</t>
  </si>
  <si>
    <t>Հ</t>
  </si>
  <si>
    <t>Q</t>
  </si>
  <si>
    <t>П</t>
  </si>
  <si>
    <t>胜</t>
  </si>
  <si>
    <t>勝</t>
  </si>
  <si>
    <t>V</t>
  </si>
  <si>
    <t>მოგ</t>
  </si>
  <si>
    <t>Ν</t>
  </si>
  <si>
    <t>נצחונות</t>
  </si>
  <si>
    <t>GY</t>
  </si>
  <si>
    <t>Menang</t>
  </si>
  <si>
    <t>U</t>
  </si>
  <si>
    <t>승</t>
  </si>
  <si>
    <t>R</t>
  </si>
  <si>
    <t>برد</t>
  </si>
  <si>
    <t>P</t>
  </si>
  <si>
    <t>ชนะ</t>
  </si>
  <si>
    <t>T</t>
  </si>
  <si>
    <t>В</t>
  </si>
  <si>
    <t>جیت</t>
  </si>
  <si>
    <t>DRAW</t>
  </si>
  <si>
    <t>BAR</t>
  </si>
  <si>
    <t>تعادل</t>
  </si>
  <si>
    <t>Ո</t>
  </si>
  <si>
    <t>H</t>
  </si>
  <si>
    <t>Р</t>
  </si>
  <si>
    <t>E</t>
  </si>
  <si>
    <t>平</t>
  </si>
  <si>
    <t>和</t>
  </si>
  <si>
    <t>Uafgjort</t>
  </si>
  <si>
    <t>ფრე</t>
  </si>
  <si>
    <t>Ι</t>
  </si>
  <si>
    <t>תיקו</t>
  </si>
  <si>
    <t>D</t>
  </si>
  <si>
    <t>Seri</t>
  </si>
  <si>
    <t>Jafnt</t>
  </si>
  <si>
    <t>무</t>
  </si>
  <si>
    <t>Lyg</t>
  </si>
  <si>
    <t>Н</t>
  </si>
  <si>
    <t>I</t>
  </si>
  <si>
    <t>مساوی</t>
  </si>
  <si>
    <t>NER.</t>
  </si>
  <si>
    <t>เสมอ</t>
  </si>
  <si>
    <t>B</t>
  </si>
  <si>
    <t>برابر</t>
  </si>
  <si>
    <t>خسر</t>
  </si>
  <si>
    <t>Պ</t>
  </si>
  <si>
    <t>З</t>
  </si>
  <si>
    <t>负</t>
  </si>
  <si>
    <t>負</t>
  </si>
  <si>
    <t>წაგ</t>
  </si>
  <si>
    <t>N</t>
  </si>
  <si>
    <t xml:space="preserve">Η </t>
  </si>
  <si>
    <t>הפסדים</t>
  </si>
  <si>
    <t>Kalah</t>
  </si>
  <si>
    <t>패</t>
  </si>
  <si>
    <t>И</t>
  </si>
  <si>
    <t>باخت</t>
  </si>
  <si>
    <t>แพ้</t>
  </si>
  <si>
    <t>ہارے گئے مقابلے</t>
  </si>
  <si>
    <t>GF - GA</t>
  </si>
  <si>
    <t>GSH-GP</t>
  </si>
  <si>
    <t>عليه - له</t>
  </si>
  <si>
    <t>ԽԳ-ԲԳ</t>
  </si>
  <si>
    <t>QV - QB</t>
  </si>
  <si>
    <t>Гол. Разл.</t>
  </si>
  <si>
    <t>GF - GC</t>
  </si>
  <si>
    <t>得失球</t>
  </si>
  <si>
    <t>得球 - 失球</t>
  </si>
  <si>
    <t>GV - GI</t>
  </si>
  <si>
    <t>MF - MI</t>
  </si>
  <si>
    <t>DV-DT</t>
  </si>
  <si>
    <t>BP - BC</t>
  </si>
  <si>
    <t>გგ - მგ</t>
  </si>
  <si>
    <t>ET - KT</t>
  </si>
  <si>
    <t>Υ-Κ</t>
  </si>
  <si>
    <t>יחס שערים</t>
  </si>
  <si>
    <t>Gólkül.</t>
  </si>
  <si>
    <t xml:space="preserve">Skor </t>
  </si>
  <si>
    <t>S - F</t>
  </si>
  <si>
    <t>GF - GS</t>
  </si>
  <si>
    <t>골득실</t>
  </si>
  <si>
    <t>Įm - Pr</t>
  </si>
  <si>
    <t>Разлика</t>
  </si>
  <si>
    <t>GF - GK</t>
  </si>
  <si>
    <t>Mål</t>
  </si>
  <si>
    <t>خورده-زده</t>
  </si>
  <si>
    <t>Z - S</t>
  </si>
  <si>
    <t>GM - GS</t>
  </si>
  <si>
    <t>GM - GP</t>
  </si>
  <si>
    <t>GD - GP</t>
  </si>
  <si>
    <t>GS-GI</t>
  </si>
  <si>
    <t>GM – IM</t>
  </si>
  <si>
    <t>ได้ - เสีย</t>
  </si>
  <si>
    <t>A - Y</t>
  </si>
  <si>
    <t>Hiệu số</t>
  </si>
  <si>
    <t xml:space="preserve">М </t>
  </si>
  <si>
    <t>گول کئے- انکے خلاف گول کئے گئے</t>
  </si>
  <si>
    <t>PNT</t>
  </si>
  <si>
    <t>PIK</t>
  </si>
  <si>
    <t>النقاط</t>
  </si>
  <si>
    <t>Մ</t>
  </si>
  <si>
    <t>Xal</t>
  </si>
  <si>
    <t>Т</t>
  </si>
  <si>
    <t>Punts</t>
  </si>
  <si>
    <t>积分</t>
  </si>
  <si>
    <t>分數</t>
  </si>
  <si>
    <t>Body</t>
  </si>
  <si>
    <t>Stig</t>
  </si>
  <si>
    <t>PTS</t>
  </si>
  <si>
    <t>ქულა</t>
  </si>
  <si>
    <t>PKT</t>
  </si>
  <si>
    <t>ΒΘ</t>
  </si>
  <si>
    <t>נקודות</t>
  </si>
  <si>
    <t>Nilai</t>
  </si>
  <si>
    <t>Punti</t>
  </si>
  <si>
    <t>승점</t>
  </si>
  <si>
    <t>Tšk</t>
  </si>
  <si>
    <t>Б</t>
  </si>
  <si>
    <t>امتیاز</t>
  </si>
  <si>
    <t>Pkt</t>
  </si>
  <si>
    <t>BOD</t>
  </si>
  <si>
    <t>คะแนน</t>
  </si>
  <si>
    <t>Điểm</t>
  </si>
  <si>
    <t>نشان</t>
  </si>
  <si>
    <t>Sun</t>
  </si>
  <si>
    <t>Diel</t>
  </si>
  <si>
    <t>الأحد</t>
  </si>
  <si>
    <t>Կիր.</t>
  </si>
  <si>
    <t>Нед</t>
  </si>
  <si>
    <t>Diu</t>
  </si>
  <si>
    <t>周日</t>
  </si>
  <si>
    <t>Ned</t>
  </si>
  <si>
    <t>Ne</t>
  </si>
  <si>
    <t>Søn</t>
  </si>
  <si>
    <t>Zo</t>
  </si>
  <si>
    <t>კვირა</t>
  </si>
  <si>
    <t>Κυρ</t>
  </si>
  <si>
    <t>ראשון</t>
  </si>
  <si>
    <t>Vas</t>
  </si>
  <si>
    <t>Min</t>
  </si>
  <si>
    <t>Dom</t>
  </si>
  <si>
    <t>일</t>
  </si>
  <si>
    <t>Sekm</t>
  </si>
  <si>
    <t>Ħad</t>
  </si>
  <si>
    <t>یکشنبه</t>
  </si>
  <si>
    <t>Nd</t>
  </si>
  <si>
    <t>Dum</t>
  </si>
  <si>
    <t>Sön</t>
  </si>
  <si>
    <t>อาทิตย์</t>
  </si>
  <si>
    <t>Paz</t>
  </si>
  <si>
    <t>CN</t>
  </si>
  <si>
    <t>Нд</t>
  </si>
  <si>
    <t>اتوار</t>
  </si>
  <si>
    <t>Mon</t>
  </si>
  <si>
    <t>Hënë</t>
  </si>
  <si>
    <t>الاثنين</t>
  </si>
  <si>
    <t>Երկ.</t>
  </si>
  <si>
    <t>BE</t>
  </si>
  <si>
    <t>Пон</t>
  </si>
  <si>
    <t>Dil</t>
  </si>
  <si>
    <t>周一</t>
  </si>
  <si>
    <t>Pon</t>
  </si>
  <si>
    <t>Po</t>
  </si>
  <si>
    <t>Man</t>
  </si>
  <si>
    <t>Ma</t>
  </si>
  <si>
    <t>Mán</t>
  </si>
  <si>
    <t>ორშ</t>
  </si>
  <si>
    <t>Δευ</t>
  </si>
  <si>
    <t>שני</t>
  </si>
  <si>
    <t>Hét</t>
  </si>
  <si>
    <t>Sen</t>
  </si>
  <si>
    <t>Lun</t>
  </si>
  <si>
    <t>월</t>
  </si>
  <si>
    <t>Pirm</t>
  </si>
  <si>
    <t>Tne</t>
  </si>
  <si>
    <t>دوشنبه</t>
  </si>
  <si>
    <t>Pn</t>
  </si>
  <si>
    <t>Seg</t>
  </si>
  <si>
    <t>Mån</t>
  </si>
  <si>
    <t>จันทร์</t>
  </si>
  <si>
    <t>Pzt</t>
  </si>
  <si>
    <t>T2</t>
  </si>
  <si>
    <t>Пн</t>
  </si>
  <si>
    <t>پیر</t>
  </si>
  <si>
    <t>Tue</t>
  </si>
  <si>
    <t>Mar</t>
  </si>
  <si>
    <t>الثلاثاء</t>
  </si>
  <si>
    <t>Երեք.</t>
  </si>
  <si>
    <t>ÇA</t>
  </si>
  <si>
    <t>Вт</t>
  </si>
  <si>
    <t>Dim</t>
  </si>
  <si>
    <t>周二</t>
  </si>
  <si>
    <t>Uto</t>
  </si>
  <si>
    <t>Út</t>
  </si>
  <si>
    <t>Tir</t>
  </si>
  <si>
    <t>Di</t>
  </si>
  <si>
    <t>Týs</t>
  </si>
  <si>
    <t>სამშ</t>
  </si>
  <si>
    <t>Τρι</t>
  </si>
  <si>
    <t>שלישי</t>
  </si>
  <si>
    <t>Ke</t>
  </si>
  <si>
    <t>Sel</t>
  </si>
  <si>
    <t>Þri</t>
  </si>
  <si>
    <t>화</t>
  </si>
  <si>
    <t>Antr</t>
  </si>
  <si>
    <t>Вто</t>
  </si>
  <si>
    <t>Tli</t>
  </si>
  <si>
    <t>Tirs</t>
  </si>
  <si>
    <t>سه شنبه</t>
  </si>
  <si>
    <t>Wt</t>
  </si>
  <si>
    <t>Ter</t>
  </si>
  <si>
    <t>Ut</t>
  </si>
  <si>
    <t>Tor</t>
  </si>
  <si>
    <t>Tis</t>
  </si>
  <si>
    <t>อังคาร</t>
  </si>
  <si>
    <t>Sal</t>
  </si>
  <si>
    <t>T3</t>
  </si>
  <si>
    <t>منگل</t>
  </si>
  <si>
    <t>Wed</t>
  </si>
  <si>
    <t>Mër</t>
  </si>
  <si>
    <t>الأربعاء</t>
  </si>
  <si>
    <t>Չոր.</t>
  </si>
  <si>
    <t>Ç</t>
  </si>
  <si>
    <t>Сря</t>
  </si>
  <si>
    <t>Dix</t>
  </si>
  <si>
    <t>周三</t>
  </si>
  <si>
    <t>Sri</t>
  </si>
  <si>
    <t>St</t>
  </si>
  <si>
    <t>Ons</t>
  </si>
  <si>
    <t>Wo</t>
  </si>
  <si>
    <t>Mik</t>
  </si>
  <si>
    <t>ოთხშ</t>
  </si>
  <si>
    <t>Τετ</t>
  </si>
  <si>
    <t>רביעי</t>
  </si>
  <si>
    <t>Sze</t>
  </si>
  <si>
    <t>Rab</t>
  </si>
  <si>
    <t>Mið</t>
  </si>
  <si>
    <t>Mer</t>
  </si>
  <si>
    <t>수</t>
  </si>
  <si>
    <t>Treč</t>
  </si>
  <si>
    <t>Сре</t>
  </si>
  <si>
    <t>Erb</t>
  </si>
  <si>
    <t>چهارشنبه</t>
  </si>
  <si>
    <t>Śr</t>
  </si>
  <si>
    <t>Qua</t>
  </si>
  <si>
    <t>Mie</t>
  </si>
  <si>
    <t>Sre</t>
  </si>
  <si>
    <t>พุธ</t>
  </si>
  <si>
    <t>Çar</t>
  </si>
  <si>
    <t>T4</t>
  </si>
  <si>
    <t>Ср</t>
  </si>
  <si>
    <t>بدھ</t>
  </si>
  <si>
    <t>Thu</t>
  </si>
  <si>
    <t>Enjt</t>
  </si>
  <si>
    <t>الخميس</t>
  </si>
  <si>
    <t>Հինգ.</t>
  </si>
  <si>
    <t>CA</t>
  </si>
  <si>
    <t>Четв</t>
  </si>
  <si>
    <t>Dij</t>
  </si>
  <si>
    <t>周四</t>
  </si>
  <si>
    <t>Čet</t>
  </si>
  <si>
    <t>Čt</t>
  </si>
  <si>
    <t>Do</t>
  </si>
  <si>
    <t>Hós</t>
  </si>
  <si>
    <t>ხუთშ</t>
  </si>
  <si>
    <t>Πεμ</t>
  </si>
  <si>
    <t>חמישי</t>
  </si>
  <si>
    <t>Csü</t>
  </si>
  <si>
    <t>Kam</t>
  </si>
  <si>
    <t>Fim</t>
  </si>
  <si>
    <t>Gio</t>
  </si>
  <si>
    <t>목</t>
  </si>
  <si>
    <t>Ketv</t>
  </si>
  <si>
    <t>Чет</t>
  </si>
  <si>
    <t>Ħam</t>
  </si>
  <si>
    <t>Tors</t>
  </si>
  <si>
    <t>پنجشنبه</t>
  </si>
  <si>
    <t>Cz</t>
  </si>
  <si>
    <t>Qui</t>
  </si>
  <si>
    <t>Joi</t>
  </si>
  <si>
    <t>Št</t>
  </si>
  <si>
    <t>พฤหัส</t>
  </si>
  <si>
    <t>Per</t>
  </si>
  <si>
    <t>T5</t>
  </si>
  <si>
    <t>Чт</t>
  </si>
  <si>
    <t>جمعرات</t>
  </si>
  <si>
    <t>Fri</t>
  </si>
  <si>
    <t>Pre</t>
  </si>
  <si>
    <t>الجمعة</t>
  </si>
  <si>
    <t>Ուրբ.</t>
  </si>
  <si>
    <t>C</t>
  </si>
  <si>
    <t>Пет</t>
  </si>
  <si>
    <t>Div</t>
  </si>
  <si>
    <t>周五</t>
  </si>
  <si>
    <t>Pet</t>
  </si>
  <si>
    <t>Pá</t>
  </si>
  <si>
    <t>Fre</t>
  </si>
  <si>
    <t>Vr</t>
  </si>
  <si>
    <t>Frí</t>
  </si>
  <si>
    <t>პარ</t>
  </si>
  <si>
    <t>Παρ</t>
  </si>
  <si>
    <t>שישי</t>
  </si>
  <si>
    <t>Pé</t>
  </si>
  <si>
    <t>Jum</t>
  </si>
  <si>
    <t>Fös</t>
  </si>
  <si>
    <t>Ven</t>
  </si>
  <si>
    <t>금</t>
  </si>
  <si>
    <t>Penk</t>
  </si>
  <si>
    <t>Ġim</t>
  </si>
  <si>
    <t>جمعه</t>
  </si>
  <si>
    <t>Pt</t>
  </si>
  <si>
    <t>Sex</t>
  </si>
  <si>
    <t>Vin</t>
  </si>
  <si>
    <t>Pi</t>
  </si>
  <si>
    <t>ศุกร์</t>
  </si>
  <si>
    <t>Cum</t>
  </si>
  <si>
    <t>T6</t>
  </si>
  <si>
    <t>Пт</t>
  </si>
  <si>
    <t>جمعہ</t>
  </si>
  <si>
    <t>Sat</t>
  </si>
  <si>
    <t>Sht</t>
  </si>
  <si>
    <t>السبت</t>
  </si>
  <si>
    <t>Շաբ.</t>
  </si>
  <si>
    <t>Ş</t>
  </si>
  <si>
    <t>Съб</t>
  </si>
  <si>
    <t>Dis</t>
  </si>
  <si>
    <t>周六</t>
  </si>
  <si>
    <t>Sub</t>
  </si>
  <si>
    <t>So</t>
  </si>
  <si>
    <t>Lør</t>
  </si>
  <si>
    <t>Za</t>
  </si>
  <si>
    <t>Ley</t>
  </si>
  <si>
    <t>შაბ</t>
  </si>
  <si>
    <t>Σαβ</t>
  </si>
  <si>
    <t>שבת</t>
  </si>
  <si>
    <t>Szo</t>
  </si>
  <si>
    <t>Sab</t>
  </si>
  <si>
    <t>Lau</t>
  </si>
  <si>
    <t>토</t>
  </si>
  <si>
    <t>Šešt</t>
  </si>
  <si>
    <t>Саб</t>
  </si>
  <si>
    <t>Sib</t>
  </si>
  <si>
    <t>شنبه</t>
  </si>
  <si>
    <t>Sam</t>
  </si>
  <si>
    <t>Sob</t>
  </si>
  <si>
    <t>Lör</t>
  </si>
  <si>
    <t>เสาร์</t>
  </si>
  <si>
    <t>Cmt</t>
  </si>
  <si>
    <t>T7</t>
  </si>
  <si>
    <t>Сб</t>
  </si>
  <si>
    <t>سنیچر</t>
  </si>
  <si>
    <t>Jan</t>
  </si>
  <si>
    <t>كانون ثاني</t>
  </si>
  <si>
    <t>Հունվ.</t>
  </si>
  <si>
    <t>Yan</t>
  </si>
  <si>
    <t>Януари</t>
  </si>
  <si>
    <t>Gen</t>
  </si>
  <si>
    <t>一月</t>
  </si>
  <si>
    <t>Sij</t>
  </si>
  <si>
    <t>Janv</t>
  </si>
  <si>
    <t>იან</t>
  </si>
  <si>
    <t>Ιαν</t>
  </si>
  <si>
    <t>ינואר</t>
  </si>
  <si>
    <t>1월</t>
  </si>
  <si>
    <t>Saus</t>
  </si>
  <si>
    <t>Јан</t>
  </si>
  <si>
    <t>زانویه</t>
  </si>
  <si>
    <t>Sty</t>
  </si>
  <si>
    <t>Ian</t>
  </si>
  <si>
    <t>Ene</t>
  </si>
  <si>
    <t>jan</t>
  </si>
  <si>
    <t>มกราคม</t>
  </si>
  <si>
    <t>Oca</t>
  </si>
  <si>
    <t>Tháng 1</t>
  </si>
  <si>
    <t>Січ</t>
  </si>
  <si>
    <t>جنوری</t>
  </si>
  <si>
    <t>Feb</t>
  </si>
  <si>
    <t>Shk</t>
  </si>
  <si>
    <t>شباط</t>
  </si>
  <si>
    <t>Փետր.</t>
  </si>
  <si>
    <t>Fev</t>
  </si>
  <si>
    <t>Февруари</t>
  </si>
  <si>
    <t>二月</t>
  </si>
  <si>
    <t>Vel</t>
  </si>
  <si>
    <t>Févr</t>
  </si>
  <si>
    <t>თებ</t>
  </si>
  <si>
    <t>Φεβ</t>
  </si>
  <si>
    <t>פברואר</t>
  </si>
  <si>
    <t>Peb</t>
  </si>
  <si>
    <t>2월</t>
  </si>
  <si>
    <t>Фев</t>
  </si>
  <si>
    <t>Fra</t>
  </si>
  <si>
    <t>فوریه</t>
  </si>
  <si>
    <t>Lut</t>
  </si>
  <si>
    <t>กุมภาพันธ์</t>
  </si>
  <si>
    <t>Şub</t>
  </si>
  <si>
    <t>Tháng 2</t>
  </si>
  <si>
    <t>Лют</t>
  </si>
  <si>
    <t>فروری</t>
  </si>
  <si>
    <t>آذار</t>
  </si>
  <si>
    <t>Մարտ</t>
  </si>
  <si>
    <t>Март</t>
  </si>
  <si>
    <t>三月</t>
  </si>
  <si>
    <t>Ožu</t>
  </si>
  <si>
    <t>Mrt</t>
  </si>
  <si>
    <t>Mars</t>
  </si>
  <si>
    <t>მარ</t>
  </si>
  <si>
    <t>Mrz</t>
  </si>
  <si>
    <t>Μαρ</t>
  </si>
  <si>
    <t>מרץ</t>
  </si>
  <si>
    <t>Már</t>
  </si>
  <si>
    <t>3월</t>
  </si>
  <si>
    <t>Kov</t>
  </si>
  <si>
    <t>Мар</t>
  </si>
  <si>
    <t>مارس</t>
  </si>
  <si>
    <t>mar</t>
  </si>
  <si>
    <t>มีนาคม</t>
  </si>
  <si>
    <t>Tháng 3</t>
  </si>
  <si>
    <t>Бер</t>
  </si>
  <si>
    <t>مارچ</t>
  </si>
  <si>
    <t>Apr</t>
  </si>
  <si>
    <t>Pri</t>
  </si>
  <si>
    <t>نيسان</t>
  </si>
  <si>
    <t>Ապրիլ</t>
  </si>
  <si>
    <t>Април</t>
  </si>
  <si>
    <t>Abr</t>
  </si>
  <si>
    <t>四月</t>
  </si>
  <si>
    <t>Tra</t>
  </si>
  <si>
    <t>Avr</t>
  </si>
  <si>
    <t>აპრ</t>
  </si>
  <si>
    <t>Απρ</t>
  </si>
  <si>
    <t>אפריל</t>
  </si>
  <si>
    <t>Ápr</t>
  </si>
  <si>
    <t>4월</t>
  </si>
  <si>
    <t>Bal</t>
  </si>
  <si>
    <t>Апр</t>
  </si>
  <si>
    <t>آوریل</t>
  </si>
  <si>
    <t>Kwi</t>
  </si>
  <si>
    <t>apr</t>
  </si>
  <si>
    <t>เมษายน</t>
  </si>
  <si>
    <t>Nis</t>
  </si>
  <si>
    <t>Tháng 4</t>
  </si>
  <si>
    <t>Квіт</t>
  </si>
  <si>
    <t>اپریل</t>
  </si>
  <si>
    <t>May</t>
  </si>
  <si>
    <t>Maj</t>
  </si>
  <si>
    <t>أياد</t>
  </si>
  <si>
    <t>Մայիս</t>
  </si>
  <si>
    <t>Май</t>
  </si>
  <si>
    <t>Mai</t>
  </si>
  <si>
    <t>五月</t>
  </si>
  <si>
    <t>Svi</t>
  </si>
  <si>
    <t>Mei</t>
  </si>
  <si>
    <t>მაი</t>
  </si>
  <si>
    <t>Μαϊ</t>
  </si>
  <si>
    <t>מאי</t>
  </si>
  <si>
    <t>Máj</t>
  </si>
  <si>
    <t>Maí</t>
  </si>
  <si>
    <t>Mag</t>
  </si>
  <si>
    <t>5월</t>
  </si>
  <si>
    <t>Geg</t>
  </si>
  <si>
    <t>Мај</t>
  </si>
  <si>
    <t>Mej</t>
  </si>
  <si>
    <t>می</t>
  </si>
  <si>
    <t>maj</t>
  </si>
  <si>
    <t>พฤษภาคม</t>
  </si>
  <si>
    <t>Tháng 5</t>
  </si>
  <si>
    <t>Трав</t>
  </si>
  <si>
    <t>مئی</t>
  </si>
  <si>
    <t>Jun</t>
  </si>
  <si>
    <t>Qer</t>
  </si>
  <si>
    <t>حزيران</t>
  </si>
  <si>
    <t>Հունիս</t>
  </si>
  <si>
    <t>İyn</t>
  </si>
  <si>
    <t>Юни</t>
  </si>
  <si>
    <t>六月</t>
  </si>
  <si>
    <t>Lip</t>
  </si>
  <si>
    <t>Čer</t>
  </si>
  <si>
    <t>Juin</t>
  </si>
  <si>
    <t>ივნ</t>
  </si>
  <si>
    <t>Ιουν</t>
  </si>
  <si>
    <t>יוני</t>
  </si>
  <si>
    <t>Jún</t>
  </si>
  <si>
    <t>Giu</t>
  </si>
  <si>
    <t>6월</t>
  </si>
  <si>
    <t>Birž</t>
  </si>
  <si>
    <t>Јун</t>
  </si>
  <si>
    <t>Ġun</t>
  </si>
  <si>
    <t>ژوئن</t>
  </si>
  <si>
    <t>Cze</t>
  </si>
  <si>
    <t>Iun</t>
  </si>
  <si>
    <t>jun</t>
  </si>
  <si>
    <t>มิถุนายน</t>
  </si>
  <si>
    <t>Haz</t>
  </si>
  <si>
    <t>Tháng 6</t>
  </si>
  <si>
    <t>Черв</t>
  </si>
  <si>
    <t>جون</t>
  </si>
  <si>
    <t>Jul</t>
  </si>
  <si>
    <t>Kor</t>
  </si>
  <si>
    <t>تموز</t>
  </si>
  <si>
    <t>Հուլիս</t>
  </si>
  <si>
    <t>İyl</t>
  </si>
  <si>
    <t>Юли</t>
  </si>
  <si>
    <t>七月</t>
  </si>
  <si>
    <t>Srp</t>
  </si>
  <si>
    <t>Čec</t>
  </si>
  <si>
    <t>Juil</t>
  </si>
  <si>
    <t>ივლ</t>
  </si>
  <si>
    <t>Ιουλ</t>
  </si>
  <si>
    <t>יולי</t>
  </si>
  <si>
    <t>Júl</t>
  </si>
  <si>
    <t>Lug</t>
  </si>
  <si>
    <t>7월</t>
  </si>
  <si>
    <t>Lie</t>
  </si>
  <si>
    <t>Јул</t>
  </si>
  <si>
    <t>Lul</t>
  </si>
  <si>
    <t>ژولای</t>
  </si>
  <si>
    <t>Iul</t>
  </si>
  <si>
    <t>jul</t>
  </si>
  <si>
    <t>กรกฎาคม</t>
  </si>
  <si>
    <t>Tem</t>
  </si>
  <si>
    <t>Tháng 7</t>
  </si>
  <si>
    <t>Лип</t>
  </si>
  <si>
    <t>جولائی</t>
  </si>
  <si>
    <t>Aug</t>
  </si>
  <si>
    <t>Gus</t>
  </si>
  <si>
    <t>آب</t>
  </si>
  <si>
    <t>Օգոս.</t>
  </si>
  <si>
    <t>Avq</t>
  </si>
  <si>
    <t>Август</t>
  </si>
  <si>
    <t>Ago</t>
  </si>
  <si>
    <t>八月</t>
  </si>
  <si>
    <t>Kol</t>
  </si>
  <si>
    <t>Août</t>
  </si>
  <si>
    <t>აგვ</t>
  </si>
  <si>
    <t>Αυγ</t>
  </si>
  <si>
    <t>אוגוסט</t>
  </si>
  <si>
    <t>Agu</t>
  </si>
  <si>
    <t>Ágú</t>
  </si>
  <si>
    <t>8월</t>
  </si>
  <si>
    <t>Rugp</t>
  </si>
  <si>
    <t>Авг</t>
  </si>
  <si>
    <t>Aww</t>
  </si>
  <si>
    <t>اگوست</t>
  </si>
  <si>
    <t>Się</t>
  </si>
  <si>
    <t>Avg</t>
  </si>
  <si>
    <t>สิงหาคม</t>
  </si>
  <si>
    <t>Ağu</t>
  </si>
  <si>
    <t>Tháng 8</t>
  </si>
  <si>
    <t>Серп</t>
  </si>
  <si>
    <t>اگست</t>
  </si>
  <si>
    <t>Sep</t>
  </si>
  <si>
    <t>Shta</t>
  </si>
  <si>
    <t>أيلول</t>
  </si>
  <si>
    <t>Սեպտ.</t>
  </si>
  <si>
    <t>Септември</t>
  </si>
  <si>
    <t>Set</t>
  </si>
  <si>
    <t>九月</t>
  </si>
  <si>
    <t>Ruj</t>
  </si>
  <si>
    <t>Sept</t>
  </si>
  <si>
    <t>სექ</t>
  </si>
  <si>
    <t>Σεπ</t>
  </si>
  <si>
    <t>ספטמבר</t>
  </si>
  <si>
    <t>Szep</t>
  </si>
  <si>
    <t>9월</t>
  </si>
  <si>
    <t>Rugs</t>
  </si>
  <si>
    <t>Сеп</t>
  </si>
  <si>
    <t>سپتامبر</t>
  </si>
  <si>
    <t>Wrz</t>
  </si>
  <si>
    <t>sep</t>
  </si>
  <si>
    <t>กันยายน</t>
  </si>
  <si>
    <t>Eyl</t>
  </si>
  <si>
    <t>Tháng 9</t>
  </si>
  <si>
    <t>Вер</t>
  </si>
  <si>
    <t>ستمبر</t>
  </si>
  <si>
    <t>Oct</t>
  </si>
  <si>
    <t>Tet</t>
  </si>
  <si>
    <t>تشرين أول</t>
  </si>
  <si>
    <t>Հոկտ.</t>
  </si>
  <si>
    <t>Okt</t>
  </si>
  <si>
    <t>Октомври</t>
  </si>
  <si>
    <t>十月</t>
  </si>
  <si>
    <t>Lis</t>
  </si>
  <si>
    <t>ოქტ</t>
  </si>
  <si>
    <t>Οκτ</t>
  </si>
  <si>
    <t>אוקטובר</t>
  </si>
  <si>
    <t>Ott</t>
  </si>
  <si>
    <t>10월</t>
  </si>
  <si>
    <t>Spa</t>
  </si>
  <si>
    <t>Окт</t>
  </si>
  <si>
    <t>اکتبر</t>
  </si>
  <si>
    <t>Paź</t>
  </si>
  <si>
    <t>Out</t>
  </si>
  <si>
    <t>okt</t>
  </si>
  <si>
    <t>ตุลาคม</t>
  </si>
  <si>
    <t>Eki</t>
  </si>
  <si>
    <t>Tháng 10</t>
  </si>
  <si>
    <t>Жовт</t>
  </si>
  <si>
    <t>اکتوبر</t>
  </si>
  <si>
    <t>Nov</t>
  </si>
  <si>
    <t>Nën</t>
  </si>
  <si>
    <t>تشرين ثاني</t>
  </si>
  <si>
    <t>Նոյեմ.</t>
  </si>
  <si>
    <t>Noy</t>
  </si>
  <si>
    <t>Ноември</t>
  </si>
  <si>
    <t>十一月</t>
  </si>
  <si>
    <t>Stu</t>
  </si>
  <si>
    <t>ნოე</t>
  </si>
  <si>
    <t>Νοε</t>
  </si>
  <si>
    <t>נובמבר</t>
  </si>
  <si>
    <t>Nop</t>
  </si>
  <si>
    <t>Nóv</t>
  </si>
  <si>
    <t>11월</t>
  </si>
  <si>
    <t>Lapk</t>
  </si>
  <si>
    <t>Ное</t>
  </si>
  <si>
    <t>نوامبر</t>
  </si>
  <si>
    <t>Noi</t>
  </si>
  <si>
    <t>nov</t>
  </si>
  <si>
    <t>พฤศจิกายน</t>
  </si>
  <si>
    <t>Kas</t>
  </si>
  <si>
    <t>Tháng 11</t>
  </si>
  <si>
    <t>Лист</t>
  </si>
  <si>
    <t>نومبر</t>
  </si>
  <si>
    <t>Dec</t>
  </si>
  <si>
    <t>Dhj</t>
  </si>
  <si>
    <t>كانون أول</t>
  </si>
  <si>
    <t>Դեկտ.</t>
  </si>
  <si>
    <t>Dek</t>
  </si>
  <si>
    <t>Декември</t>
  </si>
  <si>
    <t>Des</t>
  </si>
  <si>
    <t>十二月</t>
  </si>
  <si>
    <t>Pro</t>
  </si>
  <si>
    <t>Déc</t>
  </si>
  <si>
    <t>დეკ</t>
  </si>
  <si>
    <t>Dez</t>
  </si>
  <si>
    <t>Δεκ</t>
  </si>
  <si>
    <t>דצמבר</t>
  </si>
  <si>
    <t>Dic</t>
  </si>
  <si>
    <t>12월</t>
  </si>
  <si>
    <t>Gruo</t>
  </si>
  <si>
    <t>Дек</t>
  </si>
  <si>
    <t>Deċ</t>
  </si>
  <si>
    <t>دسامبر</t>
  </si>
  <si>
    <t>Gru</t>
  </si>
  <si>
    <t>dec</t>
  </si>
  <si>
    <t>ธันวาคม</t>
  </si>
  <si>
    <t>Ara</t>
  </si>
  <si>
    <t>Tháng 12</t>
  </si>
  <si>
    <t>Груд</t>
  </si>
  <si>
    <t>دسمبر</t>
  </si>
  <si>
    <t>Team</t>
  </si>
  <si>
    <t>Ekipi</t>
  </si>
  <si>
    <t>المنتخب</t>
  </si>
  <si>
    <t>Հավաքական</t>
  </si>
  <si>
    <t>Komanda</t>
  </si>
  <si>
    <t>Отбор</t>
  </si>
  <si>
    <t>Equip</t>
  </si>
  <si>
    <t>球队</t>
  </si>
  <si>
    <t>隊伍</t>
  </si>
  <si>
    <t>Hold</t>
  </si>
  <si>
    <t>Lið</t>
  </si>
  <si>
    <t>Équipe</t>
  </si>
  <si>
    <t>ნაკრები</t>
  </si>
  <si>
    <t>Ομάδα</t>
  </si>
  <si>
    <t>קבוצה</t>
  </si>
  <si>
    <t>Csapat</t>
  </si>
  <si>
    <t>Tim</t>
  </si>
  <si>
    <t>Squadra</t>
  </si>
  <si>
    <t>팀</t>
  </si>
  <si>
    <t>Тим</t>
  </si>
  <si>
    <t>Lag</t>
  </si>
  <si>
    <t>تیم</t>
  </si>
  <si>
    <t>Drużyna</t>
  </si>
  <si>
    <t>Equipa</t>
  </si>
  <si>
    <t>Echipa</t>
  </si>
  <si>
    <t>Reprezentacija</t>
  </si>
  <si>
    <t>Mužstvo</t>
  </si>
  <si>
    <t>Moštvo</t>
  </si>
  <si>
    <t>Equipo</t>
  </si>
  <si>
    <t>ทึม</t>
  </si>
  <si>
    <t>Takım</t>
  </si>
  <si>
    <t>Đội</t>
  </si>
  <si>
    <t>Команда</t>
  </si>
  <si>
    <t>ٹیم</t>
  </si>
  <si>
    <t>Senegal</t>
  </si>
  <si>
    <t>السنغال</t>
  </si>
  <si>
    <t>Սենեգալ</t>
  </si>
  <si>
    <t>Seneqal</t>
  </si>
  <si>
    <t>Сенегал</t>
  </si>
  <si>
    <t>塞内加尔</t>
  </si>
  <si>
    <t>塞內加爾</t>
  </si>
  <si>
    <t>Sénégal</t>
  </si>
  <si>
    <t>სენეგალი</t>
  </si>
  <si>
    <t>Σενεγάλη</t>
  </si>
  <si>
    <t>סנגל</t>
  </si>
  <si>
    <t>Szenegál</t>
  </si>
  <si>
    <t>senegal</t>
  </si>
  <si>
    <t>세네갈</t>
  </si>
  <si>
    <t>Senegalas</t>
  </si>
  <si>
    <t>سنگال</t>
  </si>
  <si>
    <t>сенегал</t>
  </si>
  <si>
    <t>ประเทศเซเนกัล</t>
  </si>
  <si>
    <t>سنیگال</t>
  </si>
  <si>
    <t>Qatar</t>
  </si>
  <si>
    <t>Katari</t>
  </si>
  <si>
    <t>دولة قطر</t>
  </si>
  <si>
    <t>Քաթար</t>
  </si>
  <si>
    <t>Катар</t>
  </si>
  <si>
    <t>卡塔尔</t>
  </si>
  <si>
    <t>卡塔爾</t>
  </si>
  <si>
    <t>Katar</t>
  </si>
  <si>
    <t>ᲙᲐᲢᲐᲠᲘ</t>
  </si>
  <si>
    <t>Κατάρ</t>
  </si>
  <si>
    <t>קטאר</t>
  </si>
  <si>
    <t>카타르</t>
  </si>
  <si>
    <t>Kataras</t>
  </si>
  <si>
    <t>قطر</t>
  </si>
  <si>
    <t>Catar</t>
  </si>
  <si>
    <t>กาตาร์</t>
  </si>
  <si>
    <t>Ecuador</t>
  </si>
  <si>
    <t>Ekuador</t>
  </si>
  <si>
    <t>الإكوادور</t>
  </si>
  <si>
    <t>Էկվադոր</t>
  </si>
  <si>
    <t>Ekvador</t>
  </si>
  <si>
    <t>Еквадор</t>
  </si>
  <si>
    <t>厄瓜多尔</t>
  </si>
  <si>
    <t>厄瓜多爾</t>
  </si>
  <si>
    <t>Ekvádor</t>
  </si>
  <si>
    <t>Equateur</t>
  </si>
  <si>
    <t>ᲔᲙᲕᲐᲓᲝᲠᲘ</t>
  </si>
  <si>
    <t>Εκουαδόρ</t>
  </si>
  <si>
    <t>אקוודור</t>
  </si>
  <si>
    <t>에콰도르</t>
  </si>
  <si>
    <t>Ekvadoras</t>
  </si>
  <si>
    <t>Ekwador</t>
  </si>
  <si>
    <t>اکوادور</t>
  </si>
  <si>
    <t>Equador</t>
  </si>
  <si>
    <t>เอกวาดอร์</t>
  </si>
  <si>
    <t>ایکواڈور</t>
  </si>
  <si>
    <t>Netherlands</t>
  </si>
  <si>
    <t>Hollandë</t>
  </si>
  <si>
    <t>هولندا</t>
  </si>
  <si>
    <t>Նիդեռլանդներ</t>
  </si>
  <si>
    <t>Hollandiya</t>
  </si>
  <si>
    <t>Холандия</t>
  </si>
  <si>
    <t>Països Baixos</t>
  </si>
  <si>
    <t>荷兰</t>
  </si>
  <si>
    <t>荷蘭</t>
  </si>
  <si>
    <t>Nizozemska</t>
  </si>
  <si>
    <t>Holandsko</t>
  </si>
  <si>
    <t>Holland</t>
  </si>
  <si>
    <t>Nederland</t>
  </si>
  <si>
    <t>Pays-Bas</t>
  </si>
  <si>
    <t>ᲜᲘᲓᲔᲠᲚᲐᲜᲓᲔᲑᲘ</t>
  </si>
  <si>
    <t>Niederlande</t>
  </si>
  <si>
    <t>Ολλανδία</t>
  </si>
  <si>
    <t>הולנד</t>
  </si>
  <si>
    <t>Hollandia</t>
  </si>
  <si>
    <t>Belanda</t>
  </si>
  <si>
    <t>Olanda</t>
  </si>
  <si>
    <t>네덜란드</t>
  </si>
  <si>
    <t>Nyderlandai</t>
  </si>
  <si>
    <t>Холандија</t>
  </si>
  <si>
    <t>هلند</t>
  </si>
  <si>
    <t>Holandia</t>
  </si>
  <si>
    <t>Holanda</t>
  </si>
  <si>
    <t>Низоземска</t>
  </si>
  <si>
    <t>Países Bajos</t>
  </si>
  <si>
    <t>Nederländska</t>
  </si>
  <si>
    <t>เนเธอร์แลนด์</t>
  </si>
  <si>
    <t>Hollanda</t>
  </si>
  <si>
    <t>NướC Hà Lan</t>
  </si>
  <si>
    <t>Нідерланди</t>
  </si>
  <si>
    <t>نیدرلینڈز</t>
  </si>
  <si>
    <t>England</t>
  </si>
  <si>
    <t>Angli</t>
  </si>
  <si>
    <t>انجلترا</t>
  </si>
  <si>
    <t>Անգլիա</t>
  </si>
  <si>
    <t>İngiltərə</t>
  </si>
  <si>
    <t>Англия</t>
  </si>
  <si>
    <t>Anglaterra</t>
  </si>
  <si>
    <t>英国</t>
  </si>
  <si>
    <t>英國</t>
  </si>
  <si>
    <t>Engleska</t>
  </si>
  <si>
    <t>Anglie</t>
  </si>
  <si>
    <t>Engeland</t>
  </si>
  <si>
    <t>Angleterre</t>
  </si>
  <si>
    <t>ინგლისი</t>
  </si>
  <si>
    <t>Αγγλία</t>
  </si>
  <si>
    <t>אנגליה</t>
  </si>
  <si>
    <t>Anglia</t>
  </si>
  <si>
    <t>Inggris</t>
  </si>
  <si>
    <t>Inghilterra</t>
  </si>
  <si>
    <t>영국</t>
  </si>
  <si>
    <t>Anglija</t>
  </si>
  <si>
    <t>Англија</t>
  </si>
  <si>
    <t>Ingilterra</t>
  </si>
  <si>
    <t>انگلستان</t>
  </si>
  <si>
    <t>Inglaterra</t>
  </si>
  <si>
    <t>Енглеска</t>
  </si>
  <si>
    <t>Anglicko</t>
  </si>
  <si>
    <t>อังกฤษ</t>
  </si>
  <si>
    <t>İngiltere</t>
  </si>
  <si>
    <t>Anh</t>
  </si>
  <si>
    <t>Англія</t>
  </si>
  <si>
    <t>انگلینڈ</t>
  </si>
  <si>
    <t>Iran</t>
  </si>
  <si>
    <t>ايران</t>
  </si>
  <si>
    <t>Իրան</t>
  </si>
  <si>
    <t>İran</t>
  </si>
  <si>
    <t>Иран</t>
  </si>
  <si>
    <t>伊朗</t>
  </si>
  <si>
    <t>Írán</t>
  </si>
  <si>
    <t>ირანის</t>
  </si>
  <si>
    <t>Ιράν</t>
  </si>
  <si>
    <t>אירן</t>
  </si>
  <si>
    <t>Irán</t>
  </si>
  <si>
    <t>Íran</t>
  </si>
  <si>
    <t>이란</t>
  </si>
  <si>
    <t>Iranas</t>
  </si>
  <si>
    <t>ایران</t>
  </si>
  <si>
    <t>Irã</t>
  </si>
  <si>
    <t>อิหร่าน</t>
  </si>
  <si>
    <t>Іран</t>
  </si>
  <si>
    <t>United States</t>
  </si>
  <si>
    <t>Shtetet E Bashkuara</t>
  </si>
  <si>
    <t>الولايات المتحدة</t>
  </si>
  <si>
    <t>Միացյալ Նահանգներ</t>
  </si>
  <si>
    <t>Amerika BirləŞmiş Ştatları</t>
  </si>
  <si>
    <t>Съединени Щати</t>
  </si>
  <si>
    <t>Estats Units</t>
  </si>
  <si>
    <t>美国</t>
  </si>
  <si>
    <t>美國</t>
  </si>
  <si>
    <t>Ujedinjene Države</t>
  </si>
  <si>
    <t>Spojené Státy</t>
  </si>
  <si>
    <t>Forenede Stater</t>
  </si>
  <si>
    <t>Verenigde Staten</t>
  </si>
  <si>
    <t>États-Unis</t>
  </si>
  <si>
    <t>ᲨᲔᲔᲠᲗᲔᲑᲣᲚᲘ ᲨᲢᲐᲢᲔᲑᲘ</t>
  </si>
  <si>
    <t>Vereinigte Staaten</t>
  </si>
  <si>
    <t>Ηνωμένες Πολιτείες</t>
  </si>
  <si>
    <t>ארצות הברית</t>
  </si>
  <si>
    <t>Egyesült Államok</t>
  </si>
  <si>
    <t>Amerika Serikat</t>
  </si>
  <si>
    <t>Bandaríkin</t>
  </si>
  <si>
    <t>Stati Uniti</t>
  </si>
  <si>
    <t>미국</t>
  </si>
  <si>
    <t>Jungtinės Valstijos</t>
  </si>
  <si>
    <t>Соединети Држави</t>
  </si>
  <si>
    <t>USA</t>
  </si>
  <si>
    <t>ایالات متحده</t>
  </si>
  <si>
    <t>Stany Zjednoczone</t>
  </si>
  <si>
    <t>Estados Unidos</t>
  </si>
  <si>
    <t>Statele Unite</t>
  </si>
  <si>
    <t>Америка</t>
  </si>
  <si>
    <t>Spojené Štáty</t>
  </si>
  <si>
    <t>Združene Države</t>
  </si>
  <si>
    <t>Förenta Staterna</t>
  </si>
  <si>
    <t>สหรัฐ</t>
  </si>
  <si>
    <t>Amerika Birleşik Devletleri</t>
  </si>
  <si>
    <t>Hoa Kỳ</t>
  </si>
  <si>
    <t>Сполучені Штати</t>
  </si>
  <si>
    <t>ریاستہائے متحدہ</t>
  </si>
  <si>
    <t>Wales</t>
  </si>
  <si>
    <t>Uells</t>
  </si>
  <si>
    <t>ويلز</t>
  </si>
  <si>
    <t>Ուելս</t>
  </si>
  <si>
    <t>Uels</t>
  </si>
  <si>
    <t>Уелс</t>
  </si>
  <si>
    <t>Gal·Les</t>
  </si>
  <si>
    <t>威尔士</t>
  </si>
  <si>
    <t>威爾士</t>
  </si>
  <si>
    <t>Pays De Galles</t>
  </si>
  <si>
    <t>ᲣᲔᲚᲡᲘ</t>
  </si>
  <si>
    <t>Ουαλία</t>
  </si>
  <si>
    <t>וויילס</t>
  </si>
  <si>
    <t>Galles</t>
  </si>
  <si>
    <t>웨일즈</t>
  </si>
  <si>
    <t>Velsas</t>
  </si>
  <si>
    <t>Велс</t>
  </si>
  <si>
    <t>ولز</t>
  </si>
  <si>
    <t>Walia</t>
  </si>
  <si>
    <t>Gales</t>
  </si>
  <si>
    <t>Țara Galilor</t>
  </si>
  <si>
    <t>Веллес</t>
  </si>
  <si>
    <t>เวลส์</t>
  </si>
  <si>
    <t>Galler</t>
  </si>
  <si>
    <t>Xứ Wales</t>
  </si>
  <si>
    <t>Уельс</t>
  </si>
  <si>
    <t>ویلز</t>
  </si>
  <si>
    <t>Argentina</t>
  </si>
  <si>
    <t>Argjentinë</t>
  </si>
  <si>
    <t>الأرجنتين</t>
  </si>
  <si>
    <t>Արգենտինա</t>
  </si>
  <si>
    <t>Аржентина</t>
  </si>
  <si>
    <t>阿根廷</t>
  </si>
  <si>
    <t>Argentinië</t>
  </si>
  <si>
    <t>Argentine</t>
  </si>
  <si>
    <t>არგენტინის</t>
  </si>
  <si>
    <t>Argentinien</t>
  </si>
  <si>
    <t>Αργεντινή</t>
  </si>
  <si>
    <t>ארגנטינה</t>
  </si>
  <si>
    <t>Argentína</t>
  </si>
  <si>
    <t>아르헨티나</t>
  </si>
  <si>
    <t>Аргентина</t>
  </si>
  <si>
    <t>Arġentina</t>
  </si>
  <si>
    <t>آرژانتین</t>
  </si>
  <si>
    <t>Argentyna</t>
  </si>
  <si>
    <t>อาร์เจนตินา</t>
  </si>
  <si>
    <t>Arjantin</t>
  </si>
  <si>
    <t>ارجنٹینا</t>
  </si>
  <si>
    <t>Saudi Arabia</t>
  </si>
  <si>
    <t>Arabia Saudite</t>
  </si>
  <si>
    <t>المملكة العربية السعودية</t>
  </si>
  <si>
    <t>Սաուդյան Արաբիան</t>
  </si>
  <si>
    <t>Səudiyyə Ərəbistanı</t>
  </si>
  <si>
    <t>Саудитска Арабия</t>
  </si>
  <si>
    <t>Aràbia Saudita</t>
  </si>
  <si>
    <t>沙特阿拉伯</t>
  </si>
  <si>
    <t>Saudijska Arabija</t>
  </si>
  <si>
    <t>Saudská arábie</t>
  </si>
  <si>
    <t>Saudi Arabien</t>
  </si>
  <si>
    <t>Saoedi-Arabië</t>
  </si>
  <si>
    <t>Arabie Saoudite</t>
  </si>
  <si>
    <t>საუდის არაბეთი</t>
  </si>
  <si>
    <t>Σαουδική Αραβία</t>
  </si>
  <si>
    <t>ערב הסעודית</t>
  </si>
  <si>
    <t>Szaud-Arábia</t>
  </si>
  <si>
    <t>Arab Saudi</t>
  </si>
  <si>
    <t>Sádí-Arabía</t>
  </si>
  <si>
    <t>Arabia Saudita</t>
  </si>
  <si>
    <t>사우디 아라비아</t>
  </si>
  <si>
    <t>Saudo Arabija</t>
  </si>
  <si>
    <t>Саудиска Арабија</t>
  </si>
  <si>
    <t>Għarabja Sawdita</t>
  </si>
  <si>
    <t>Saudi-Arabia</t>
  </si>
  <si>
    <t>عربستان سعودی</t>
  </si>
  <si>
    <t>Arabia Saudyjska</t>
  </si>
  <si>
    <t>Arábia Saudita</t>
  </si>
  <si>
    <t>Arabia Saudită</t>
  </si>
  <si>
    <t>Саудијска Арабија</t>
  </si>
  <si>
    <t>Saudská Arábia</t>
  </si>
  <si>
    <t>Savdska Arabija</t>
  </si>
  <si>
    <t>Saudiarabien</t>
  </si>
  <si>
    <t>ซาอุดิอาราเบีย</t>
  </si>
  <si>
    <t>Suudi Arabistan</t>
  </si>
  <si>
    <t>Ả Rập Xê-út</t>
  </si>
  <si>
    <t>Саудівська Аравія</t>
  </si>
  <si>
    <t>سعودی عرب</t>
  </si>
  <si>
    <t>Mexico</t>
  </si>
  <si>
    <t>Meksikë</t>
  </si>
  <si>
    <t>المكسيك</t>
  </si>
  <si>
    <t>Մեքսիկա</t>
  </si>
  <si>
    <t>Meksika</t>
  </si>
  <si>
    <t>Мексико</t>
  </si>
  <si>
    <t>Mèxic</t>
  </si>
  <si>
    <t>墨西哥</t>
  </si>
  <si>
    <t>Meksiko</t>
  </si>
  <si>
    <t>Mexiko</t>
  </si>
  <si>
    <t>Mexique</t>
  </si>
  <si>
    <t>მექსიკა</t>
  </si>
  <si>
    <t>Μεξικό</t>
  </si>
  <si>
    <t>מקסיקו</t>
  </si>
  <si>
    <t>Mexikó</t>
  </si>
  <si>
    <t>Messico</t>
  </si>
  <si>
    <t>멕시코</t>
  </si>
  <si>
    <t>Messiku</t>
  </si>
  <si>
    <t>مکزیک</t>
  </si>
  <si>
    <t>Meksyk</t>
  </si>
  <si>
    <t>México</t>
  </si>
  <si>
    <t>Mexic</t>
  </si>
  <si>
    <t>mexico</t>
  </si>
  <si>
    <t>ประเทศเม็กซิโก</t>
  </si>
  <si>
    <t>Мексика</t>
  </si>
  <si>
    <t>میکسیکو</t>
  </si>
  <si>
    <t>Poland</t>
  </si>
  <si>
    <t>Poloni</t>
  </si>
  <si>
    <t>بولندا</t>
  </si>
  <si>
    <t>Լեհաստան</t>
  </si>
  <si>
    <t>Polşa</t>
  </si>
  <si>
    <t>Полша</t>
  </si>
  <si>
    <t>Polònia</t>
  </si>
  <si>
    <t>波兰</t>
  </si>
  <si>
    <t>波蘭</t>
  </si>
  <si>
    <t>Poljska</t>
  </si>
  <si>
    <t>Polsko</t>
  </si>
  <si>
    <t>Polen</t>
  </si>
  <si>
    <t>PÓland</t>
  </si>
  <si>
    <t>Pologne</t>
  </si>
  <si>
    <t>პოლონეთი</t>
  </si>
  <si>
    <t>Πολωνία</t>
  </si>
  <si>
    <t>פּוֹלִין</t>
  </si>
  <si>
    <t>Lengyelország</t>
  </si>
  <si>
    <t>Polandia</t>
  </si>
  <si>
    <t>Polonia</t>
  </si>
  <si>
    <t>폴란드</t>
  </si>
  <si>
    <t>Lenkija</t>
  </si>
  <si>
    <t>Полска</t>
  </si>
  <si>
    <t>Polonja</t>
  </si>
  <si>
    <t>لهستان</t>
  </si>
  <si>
    <t>Polska</t>
  </si>
  <si>
    <t>Polônia</t>
  </si>
  <si>
    <t>Пољска</t>
  </si>
  <si>
    <t>Poľsko</t>
  </si>
  <si>
    <t>polen</t>
  </si>
  <si>
    <t>โปแลนด์</t>
  </si>
  <si>
    <t>Polonya</t>
  </si>
  <si>
    <t>Ba Lan</t>
  </si>
  <si>
    <t>Польща</t>
  </si>
  <si>
    <t>پولینڈ</t>
  </si>
  <si>
    <t>France</t>
  </si>
  <si>
    <t>Francë</t>
  </si>
  <si>
    <t>فرنسا</t>
  </si>
  <si>
    <t>Ֆրանսիա</t>
  </si>
  <si>
    <t>Fransa</t>
  </si>
  <si>
    <t>Франция</t>
  </si>
  <si>
    <t>França</t>
  </si>
  <si>
    <t>法国</t>
  </si>
  <si>
    <t>法國</t>
  </si>
  <si>
    <t>Francuska</t>
  </si>
  <si>
    <t>Francie</t>
  </si>
  <si>
    <t>Frankrig</t>
  </si>
  <si>
    <t>Frankrijk</t>
  </si>
  <si>
    <t>Frankaríki</t>
  </si>
  <si>
    <t>საფრანგეთი</t>
  </si>
  <si>
    <t>Frankreich</t>
  </si>
  <si>
    <t>Γαλλία</t>
  </si>
  <si>
    <t>צרפת</t>
  </si>
  <si>
    <t>Franciaország</t>
  </si>
  <si>
    <t>Perancis</t>
  </si>
  <si>
    <t>Francia</t>
  </si>
  <si>
    <t>프랑스</t>
  </si>
  <si>
    <t>Prancūzija</t>
  </si>
  <si>
    <t>Франција</t>
  </si>
  <si>
    <t>Franza</t>
  </si>
  <si>
    <t>Frankrike</t>
  </si>
  <si>
    <t>فرانسه</t>
  </si>
  <si>
    <t>Francja</t>
  </si>
  <si>
    <t>Franța</t>
  </si>
  <si>
    <t>Француска</t>
  </si>
  <si>
    <t>Francúzsko</t>
  </si>
  <si>
    <t>ฝรั่งเศส</t>
  </si>
  <si>
    <t>Pháp</t>
  </si>
  <si>
    <t>Франція</t>
  </si>
  <si>
    <t>فرانس</t>
  </si>
  <si>
    <t>Australia</t>
  </si>
  <si>
    <t>Australi</t>
  </si>
  <si>
    <t>أستراليا</t>
  </si>
  <si>
    <t>Ավստրալիա</t>
  </si>
  <si>
    <t>Avstraliya</t>
  </si>
  <si>
    <t>Австралия</t>
  </si>
  <si>
    <t>Austràlia</t>
  </si>
  <si>
    <t>澳大利亚</t>
  </si>
  <si>
    <t>澳大利亞</t>
  </si>
  <si>
    <t>Australija</t>
  </si>
  <si>
    <t>Austrálie</t>
  </si>
  <si>
    <t>Australien</t>
  </si>
  <si>
    <t>Australië</t>
  </si>
  <si>
    <t>Australie</t>
  </si>
  <si>
    <t>ავსტრალიაში</t>
  </si>
  <si>
    <t>Αυστραλία</t>
  </si>
  <si>
    <t>אוסטרליה</t>
  </si>
  <si>
    <t>Ausztrália</t>
  </si>
  <si>
    <t>호주</t>
  </si>
  <si>
    <t>Австралија</t>
  </si>
  <si>
    <t>Awstralja</t>
  </si>
  <si>
    <t>استرالیا</t>
  </si>
  <si>
    <t>Austrália</t>
  </si>
  <si>
    <t>Аустралија</t>
  </si>
  <si>
    <t>Avstralija</t>
  </si>
  <si>
    <t>ออสเตรเลีย</t>
  </si>
  <si>
    <t>Avustralya</t>
  </si>
  <si>
    <t>Úc</t>
  </si>
  <si>
    <t>Австралія</t>
  </si>
  <si>
    <t>آسٹریلیا</t>
  </si>
  <si>
    <t>Denmark</t>
  </si>
  <si>
    <t>Danimarkë</t>
  </si>
  <si>
    <t>الدنمارك</t>
  </si>
  <si>
    <t>Դանիա</t>
  </si>
  <si>
    <t>Danimarka</t>
  </si>
  <si>
    <t>Дания</t>
  </si>
  <si>
    <t>Dinamarca</t>
  </si>
  <si>
    <t>丹麦</t>
  </si>
  <si>
    <t>丹麥</t>
  </si>
  <si>
    <t>Danska</t>
  </si>
  <si>
    <t>Dánsko</t>
  </si>
  <si>
    <t>Danmark</t>
  </si>
  <si>
    <t>Denemarken</t>
  </si>
  <si>
    <t>Danemark</t>
  </si>
  <si>
    <t>დანია</t>
  </si>
  <si>
    <t>Dänemark</t>
  </si>
  <si>
    <t>Δανία</t>
  </si>
  <si>
    <t>דנמרק</t>
  </si>
  <si>
    <t>Dánia</t>
  </si>
  <si>
    <t>Danimarca</t>
  </si>
  <si>
    <t>덴마크</t>
  </si>
  <si>
    <t>Danija</t>
  </si>
  <si>
    <t>Данска</t>
  </si>
  <si>
    <t>دانمارک</t>
  </si>
  <si>
    <t>Dania</t>
  </si>
  <si>
    <t>Danemarca</t>
  </si>
  <si>
    <t>เดนมาร์ก</t>
  </si>
  <si>
    <t>Đan mạch</t>
  </si>
  <si>
    <t>Данія</t>
  </si>
  <si>
    <t>ڈنمارک</t>
  </si>
  <si>
    <t>Tunisia</t>
  </si>
  <si>
    <t>Tunizi</t>
  </si>
  <si>
    <t>تونس</t>
  </si>
  <si>
    <t>Թունիս</t>
  </si>
  <si>
    <t>Tunis</t>
  </si>
  <si>
    <t>Тунис</t>
  </si>
  <si>
    <t>Tunísia</t>
  </si>
  <si>
    <t>突尼斯</t>
  </si>
  <si>
    <t>Tunisko</t>
  </si>
  <si>
    <t>Tunesien</t>
  </si>
  <si>
    <t>Tunesië</t>
  </si>
  <si>
    <t>Tunesia</t>
  </si>
  <si>
    <t>Tunisie</t>
  </si>
  <si>
    <t>ტუნისში</t>
  </si>
  <si>
    <t>Τυνησία</t>
  </si>
  <si>
    <t>תוניסיה</t>
  </si>
  <si>
    <t>Tunézia</t>
  </si>
  <si>
    <t>Túnis</t>
  </si>
  <si>
    <t>튀니지</t>
  </si>
  <si>
    <t>Tunisas</t>
  </si>
  <si>
    <t>Tuneżija</t>
  </si>
  <si>
    <t>Tunezja</t>
  </si>
  <si>
    <t>Tunizija</t>
  </si>
  <si>
    <t>Túnez</t>
  </si>
  <si>
    <t>Tunisien</t>
  </si>
  <si>
    <t>ตูนิเซีย</t>
  </si>
  <si>
    <t>Tunus</t>
  </si>
  <si>
    <t>Туніс</t>
  </si>
  <si>
    <t>تیونس</t>
  </si>
  <si>
    <t>Spain</t>
  </si>
  <si>
    <t>Spanjë</t>
  </si>
  <si>
    <t>إسبانيا</t>
  </si>
  <si>
    <t>Իսպանիա</t>
  </si>
  <si>
    <t>İspaniya</t>
  </si>
  <si>
    <t>Испания</t>
  </si>
  <si>
    <t>Espanya</t>
  </si>
  <si>
    <t>西班牙</t>
  </si>
  <si>
    <t>Španjolska</t>
  </si>
  <si>
    <t>Španělsko</t>
  </si>
  <si>
    <t>Spanien</t>
  </si>
  <si>
    <t>Spanje</t>
  </si>
  <si>
    <t>Espagne</t>
  </si>
  <si>
    <t>ესპანეთში</t>
  </si>
  <si>
    <t>Ισπανία</t>
  </si>
  <si>
    <t>ספרד</t>
  </si>
  <si>
    <t>Spanyolország</t>
  </si>
  <si>
    <t>Spanyol</t>
  </si>
  <si>
    <t>spain</t>
  </si>
  <si>
    <t>Spagna</t>
  </si>
  <si>
    <t>스페인</t>
  </si>
  <si>
    <t>Ispanija</t>
  </si>
  <si>
    <t>Шпанија</t>
  </si>
  <si>
    <t>Spanja</t>
  </si>
  <si>
    <t>Spania</t>
  </si>
  <si>
    <t>کشور اسپانیا</t>
  </si>
  <si>
    <t>Hiszpania</t>
  </si>
  <si>
    <t>Espanha</t>
  </si>
  <si>
    <t>španielsko</t>
  </si>
  <si>
    <t>Španija</t>
  </si>
  <si>
    <t>España</t>
  </si>
  <si>
    <t>สเปน</t>
  </si>
  <si>
    <t>İspanya</t>
  </si>
  <si>
    <t>Tây ban nha</t>
  </si>
  <si>
    <t>Іспанія</t>
  </si>
  <si>
    <t>سپین</t>
  </si>
  <si>
    <t>Costa Rica</t>
  </si>
  <si>
    <t>Kostarikë</t>
  </si>
  <si>
    <t>كوستاريكا</t>
  </si>
  <si>
    <t>Կոստա - Ռիկա</t>
  </si>
  <si>
    <t>哥斯达黎加</t>
  </si>
  <si>
    <t>哥斯達黎加</t>
  </si>
  <si>
    <t>Kostarika</t>
  </si>
  <si>
    <t>Kosta Rika</t>
  </si>
  <si>
    <t>კოსტა რიკის</t>
  </si>
  <si>
    <t>Κόστα Ρίκα</t>
  </si>
  <si>
    <t>קוסטה ריקה</t>
  </si>
  <si>
    <t>Costarica</t>
  </si>
  <si>
    <t>코스타리카</t>
  </si>
  <si>
    <t>Коста Рика</t>
  </si>
  <si>
    <t>کاستاریکا</t>
  </si>
  <si>
    <t>Kostaryka</t>
  </si>
  <si>
    <t>Костарика</t>
  </si>
  <si>
    <t>COSTA RICA</t>
  </si>
  <si>
    <t>คอสตาริกา</t>
  </si>
  <si>
    <t>Коста -Ріка</t>
  </si>
  <si>
    <t>کوسٹا ریکا</t>
  </si>
  <si>
    <t>Germany</t>
  </si>
  <si>
    <t>Gjermani</t>
  </si>
  <si>
    <t>ألمانيا</t>
  </si>
  <si>
    <t>Գերմանիա</t>
  </si>
  <si>
    <t>Almaniya</t>
  </si>
  <si>
    <t>Германия</t>
  </si>
  <si>
    <t>Alemanya</t>
  </si>
  <si>
    <t>德国</t>
  </si>
  <si>
    <t>德國</t>
  </si>
  <si>
    <t>Njemačka</t>
  </si>
  <si>
    <t>Německo</t>
  </si>
  <si>
    <t>Tyskland</t>
  </si>
  <si>
    <t>Duitsland</t>
  </si>
  <si>
    <t>Týskland</t>
  </si>
  <si>
    <t>Allemagne</t>
  </si>
  <si>
    <t>გერმანია</t>
  </si>
  <si>
    <t>Deutschland</t>
  </si>
  <si>
    <t>Γερμανία</t>
  </si>
  <si>
    <t>גרמניה</t>
  </si>
  <si>
    <t>Németország</t>
  </si>
  <si>
    <t>Jerman</t>
  </si>
  <si>
    <t>Þýskaland</t>
  </si>
  <si>
    <t>Germania</t>
  </si>
  <si>
    <t>독일</t>
  </si>
  <si>
    <t>Vokietija</t>
  </si>
  <si>
    <t>Германија</t>
  </si>
  <si>
    <t>Ġermanja</t>
  </si>
  <si>
    <t>آلمان</t>
  </si>
  <si>
    <t>Niemcy</t>
  </si>
  <si>
    <t>Alemanha</t>
  </si>
  <si>
    <t>Немачка</t>
  </si>
  <si>
    <t>Nemecko</t>
  </si>
  <si>
    <t>Nemčija</t>
  </si>
  <si>
    <t>Alemania</t>
  </si>
  <si>
    <t>ประเทศเยอรมัน</t>
  </si>
  <si>
    <t>Almanya</t>
  </si>
  <si>
    <t>Đức</t>
  </si>
  <si>
    <t>Німеччина</t>
  </si>
  <si>
    <t>جرمنی</t>
  </si>
  <si>
    <t>Japan</t>
  </si>
  <si>
    <t>Japonia</t>
  </si>
  <si>
    <t>اليابان</t>
  </si>
  <si>
    <t>Ճապոնիա</t>
  </si>
  <si>
    <t>Yaponiya</t>
  </si>
  <si>
    <t>Япония</t>
  </si>
  <si>
    <t>Japó</t>
  </si>
  <si>
    <t>日本</t>
  </si>
  <si>
    <t>Japonsko</t>
  </si>
  <si>
    <t>Japon</t>
  </si>
  <si>
    <t>იაპონია</t>
  </si>
  <si>
    <t>Ιαπωνία</t>
  </si>
  <si>
    <t>יפן</t>
  </si>
  <si>
    <t>Japán</t>
  </si>
  <si>
    <t>Jepang</t>
  </si>
  <si>
    <t>Giappone</t>
  </si>
  <si>
    <t>일본</t>
  </si>
  <si>
    <t>Japonija</t>
  </si>
  <si>
    <t>Јапонија</t>
  </si>
  <si>
    <t>Ġappun</t>
  </si>
  <si>
    <t>ژاپن</t>
  </si>
  <si>
    <t>Japão</t>
  </si>
  <si>
    <t>Japonska</t>
  </si>
  <si>
    <t>Japón</t>
  </si>
  <si>
    <t>ญี่ปุ่น</t>
  </si>
  <si>
    <t>Japonya</t>
  </si>
  <si>
    <t>Nhật Bản</t>
  </si>
  <si>
    <t>Японія</t>
  </si>
  <si>
    <t>جاپان</t>
  </si>
  <si>
    <t>Belgium</t>
  </si>
  <si>
    <t>Belgjikë</t>
  </si>
  <si>
    <t>بلجيكا</t>
  </si>
  <si>
    <t>Բելգիա</t>
  </si>
  <si>
    <t>Belçika</t>
  </si>
  <si>
    <t>Белгия</t>
  </si>
  <si>
    <t>Bèlgica</t>
  </si>
  <si>
    <t>比利时</t>
  </si>
  <si>
    <t>比利時</t>
  </si>
  <si>
    <t>Belgija</t>
  </si>
  <si>
    <t>Belgie</t>
  </si>
  <si>
    <t>Belgien</t>
  </si>
  <si>
    <t>België</t>
  </si>
  <si>
    <t>Belgia</t>
  </si>
  <si>
    <t>Belgique</t>
  </si>
  <si>
    <t>ბელგიის</t>
  </si>
  <si>
    <t>Βέλγιο</t>
  </si>
  <si>
    <t>בלגיה</t>
  </si>
  <si>
    <t>Belgio</t>
  </si>
  <si>
    <t>벨기에</t>
  </si>
  <si>
    <t>Белгија</t>
  </si>
  <si>
    <t>Belġju</t>
  </si>
  <si>
    <t>بلژیک</t>
  </si>
  <si>
    <t>Bélgica</t>
  </si>
  <si>
    <t>belgicko</t>
  </si>
  <si>
    <t>เบลเยี่ยม</t>
  </si>
  <si>
    <t>Bỉ</t>
  </si>
  <si>
    <t>Бельгія</t>
  </si>
  <si>
    <t>بیلجئیم</t>
  </si>
  <si>
    <t>Canada</t>
  </si>
  <si>
    <t>Kanada</t>
  </si>
  <si>
    <t>كندا</t>
  </si>
  <si>
    <t>Կանադա</t>
  </si>
  <si>
    <t>Канада</t>
  </si>
  <si>
    <t>Canadà</t>
  </si>
  <si>
    <t>加拿大</t>
  </si>
  <si>
    <t>ᲙᲐᲜᲐᲓᲐ</t>
  </si>
  <si>
    <t>Καναδάς</t>
  </si>
  <si>
    <t>קנדה</t>
  </si>
  <si>
    <t>캐나다</t>
  </si>
  <si>
    <t>کانادا</t>
  </si>
  <si>
    <t>Canadá</t>
  </si>
  <si>
    <t>แคนาดา</t>
  </si>
  <si>
    <t>کینیڈا</t>
  </si>
  <si>
    <t>Morocco</t>
  </si>
  <si>
    <t>Marok</t>
  </si>
  <si>
    <t>المغرب</t>
  </si>
  <si>
    <t>սեկ</t>
  </si>
  <si>
    <t>Mərakeş</t>
  </si>
  <si>
    <t>Мароко</t>
  </si>
  <si>
    <t>Marroc</t>
  </si>
  <si>
    <t>摩洛哥</t>
  </si>
  <si>
    <t>Maroko</t>
  </si>
  <si>
    <t>Marokko</t>
  </si>
  <si>
    <t>Maroc</t>
  </si>
  <si>
    <t>მაროკო</t>
  </si>
  <si>
    <t>Μαρόκο</t>
  </si>
  <si>
    <t>מָרוֹקוֹ</t>
  </si>
  <si>
    <t>Marokkó</t>
  </si>
  <si>
    <t>Marocco</t>
  </si>
  <si>
    <t>모로코</t>
  </si>
  <si>
    <t>Marokas</t>
  </si>
  <si>
    <t>Marokk</t>
  </si>
  <si>
    <t>مراکش</t>
  </si>
  <si>
    <t>Marrocos</t>
  </si>
  <si>
    <t>Marruecos</t>
  </si>
  <si>
    <t>Marocko</t>
  </si>
  <si>
    <t>โมร็อกโก</t>
  </si>
  <si>
    <t>Fas</t>
  </si>
  <si>
    <t>Марокко</t>
  </si>
  <si>
    <t>Croatia</t>
  </si>
  <si>
    <t>Kroacia</t>
  </si>
  <si>
    <t>كرواتيا</t>
  </si>
  <si>
    <t>Խորվաթիա</t>
  </si>
  <si>
    <t>Xorvatiya</t>
  </si>
  <si>
    <t>Хърватия</t>
  </si>
  <si>
    <t>Croàcia</t>
  </si>
  <si>
    <t>克罗地亚</t>
  </si>
  <si>
    <t>克羅地亞</t>
  </si>
  <si>
    <t>Hrvatska</t>
  </si>
  <si>
    <t>Chorvatsko</t>
  </si>
  <si>
    <t>Kroatien</t>
  </si>
  <si>
    <t>Kroatië</t>
  </si>
  <si>
    <t>Kroatia</t>
  </si>
  <si>
    <t>Croatie</t>
  </si>
  <si>
    <t>ხორვატია</t>
  </si>
  <si>
    <t>Κροατία</t>
  </si>
  <si>
    <t>קרואטיה</t>
  </si>
  <si>
    <t>Horvátország</t>
  </si>
  <si>
    <t>Kroasia</t>
  </si>
  <si>
    <t>Croazia</t>
  </si>
  <si>
    <t>크로아티아</t>
  </si>
  <si>
    <t>Kroatija</t>
  </si>
  <si>
    <t>Хрватска</t>
  </si>
  <si>
    <t>Kroazja</t>
  </si>
  <si>
    <t>کرواسی</t>
  </si>
  <si>
    <t>Chorwacja</t>
  </si>
  <si>
    <t>Croácia</t>
  </si>
  <si>
    <t>Croația</t>
  </si>
  <si>
    <t>Chorvátsko</t>
  </si>
  <si>
    <t>Hrvaška</t>
  </si>
  <si>
    <t>Croacia</t>
  </si>
  <si>
    <t>โครเอเชีย</t>
  </si>
  <si>
    <t>Hırvatistan</t>
  </si>
  <si>
    <t>Хорватія</t>
  </si>
  <si>
    <t>کروشیا</t>
  </si>
  <si>
    <t>Brazil</t>
  </si>
  <si>
    <t>Brazili</t>
  </si>
  <si>
    <t>البرازيل</t>
  </si>
  <si>
    <t>Բրազիլիա</t>
  </si>
  <si>
    <t>Braziliya</t>
  </si>
  <si>
    <t>Бразилия</t>
  </si>
  <si>
    <t>Brasil</t>
  </si>
  <si>
    <t>巴西</t>
  </si>
  <si>
    <t>Brazílie</t>
  </si>
  <si>
    <t>Brasilien</t>
  </si>
  <si>
    <t>Brazilië</t>
  </si>
  <si>
    <t>Brasilia</t>
  </si>
  <si>
    <t>Brésil</t>
  </si>
  <si>
    <t>ბრაზილია</t>
  </si>
  <si>
    <t>Βραζιλία</t>
  </si>
  <si>
    <t>ברזיל</t>
  </si>
  <si>
    <t>Brazília</t>
  </si>
  <si>
    <t>Brasilía</t>
  </si>
  <si>
    <t>Brasile</t>
  </si>
  <si>
    <t>브라질</t>
  </si>
  <si>
    <t>Brazilija</t>
  </si>
  <si>
    <t>Бразил</t>
  </si>
  <si>
    <t>Brażil</t>
  </si>
  <si>
    <t>برزیل</t>
  </si>
  <si>
    <t>Brazylia</t>
  </si>
  <si>
    <t>Brazilia</t>
  </si>
  <si>
    <t>บราซิล</t>
  </si>
  <si>
    <t>Brezilya</t>
  </si>
  <si>
    <t>B-ra-xin</t>
  </si>
  <si>
    <t>Бразилія</t>
  </si>
  <si>
    <t>برازیل</t>
  </si>
  <si>
    <t>Serbia</t>
  </si>
  <si>
    <t>صربيا</t>
  </si>
  <si>
    <t>Սերբիա</t>
  </si>
  <si>
    <t>Serbiya</t>
  </si>
  <si>
    <t>Сърбия</t>
  </si>
  <si>
    <t>Sèrbia</t>
  </si>
  <si>
    <t>塞尔维亚</t>
  </si>
  <si>
    <t>塞爾維亞</t>
  </si>
  <si>
    <t>Srbija</t>
  </si>
  <si>
    <t>Srbsko</t>
  </si>
  <si>
    <t>Serbien</t>
  </si>
  <si>
    <t>Servië</t>
  </si>
  <si>
    <t>Serbie</t>
  </si>
  <si>
    <t>სერბეთი</t>
  </si>
  <si>
    <t>Σερβία</t>
  </si>
  <si>
    <t>סרביה</t>
  </si>
  <si>
    <t>Szerbia</t>
  </si>
  <si>
    <t>Serbía</t>
  </si>
  <si>
    <t>세르비아</t>
  </si>
  <si>
    <t>Serbija</t>
  </si>
  <si>
    <t>Србија</t>
  </si>
  <si>
    <t>Serbja</t>
  </si>
  <si>
    <t>صربستان</t>
  </si>
  <si>
    <t>Sérvia</t>
  </si>
  <si>
    <t>เซอร์เบีย</t>
  </si>
  <si>
    <t>Sırbistan</t>
  </si>
  <si>
    <t>Сербія</t>
  </si>
  <si>
    <t>سربیا</t>
  </si>
  <si>
    <t>Switzerland</t>
  </si>
  <si>
    <t>Zvicër</t>
  </si>
  <si>
    <t>سويسرا</t>
  </si>
  <si>
    <t>Շվեյցարիա</t>
  </si>
  <si>
    <t>İsveçrə</t>
  </si>
  <si>
    <t>Швейцария</t>
  </si>
  <si>
    <t>Suïssa</t>
  </si>
  <si>
    <t>瑞士</t>
  </si>
  <si>
    <t>Švajcarska</t>
  </si>
  <si>
    <t>Švýcarsko</t>
  </si>
  <si>
    <t>Schweiz</t>
  </si>
  <si>
    <t>Zwitserland</t>
  </si>
  <si>
    <t>Sveis</t>
  </si>
  <si>
    <t>Suisse</t>
  </si>
  <si>
    <t>Ελβετία</t>
  </si>
  <si>
    <t>שוויץ</t>
  </si>
  <si>
    <t>Svájc</t>
  </si>
  <si>
    <t>Swiss</t>
  </si>
  <si>
    <t>Sviss</t>
  </si>
  <si>
    <t>Svizzera</t>
  </si>
  <si>
    <t>스위스</t>
  </si>
  <si>
    <t>Šveicarija</t>
  </si>
  <si>
    <t>Швајцарија</t>
  </si>
  <si>
    <t>Isvizzera</t>
  </si>
  <si>
    <t>Sveits</t>
  </si>
  <si>
    <t>سویس</t>
  </si>
  <si>
    <t>Szwajcaria</t>
  </si>
  <si>
    <t>Suíça</t>
  </si>
  <si>
    <t>Elveția</t>
  </si>
  <si>
    <t>Швајцарска</t>
  </si>
  <si>
    <t>švajčiarsko</t>
  </si>
  <si>
    <t>Švica</t>
  </si>
  <si>
    <t>Suiza</t>
  </si>
  <si>
    <t>ประเทศสวิสเซอร์แลนด์</t>
  </si>
  <si>
    <t>İsviçre</t>
  </si>
  <si>
    <t>Thụy Sĩ</t>
  </si>
  <si>
    <t>Швейцарія</t>
  </si>
  <si>
    <t>سوئٹزرلینڈ</t>
  </si>
  <si>
    <t>Cameroon</t>
  </si>
  <si>
    <t>Kamerun</t>
  </si>
  <si>
    <t>الكاميرون</t>
  </si>
  <si>
    <t>Կակերուհի</t>
  </si>
  <si>
    <t>Kameron</t>
  </si>
  <si>
    <t>Камерун</t>
  </si>
  <si>
    <t>Camerun</t>
  </si>
  <si>
    <t>喀麦隆</t>
  </si>
  <si>
    <t>喀麥隆</t>
  </si>
  <si>
    <t>Kameroen</t>
  </si>
  <si>
    <t>Cameroun</t>
  </si>
  <si>
    <t>ᲙᲐᲛᲔᲠᲣᲜᲘ</t>
  </si>
  <si>
    <t>Καμερούν</t>
  </si>
  <si>
    <t>קמרון</t>
  </si>
  <si>
    <t>Kamerún</t>
  </si>
  <si>
    <t>카메룬</t>
  </si>
  <si>
    <t>Kamerūnas</t>
  </si>
  <si>
    <t>کامرون</t>
  </si>
  <si>
    <t>Camarões</t>
  </si>
  <si>
    <t>Camerún</t>
  </si>
  <si>
    <t>แคเมอรูน</t>
  </si>
  <si>
    <t>کیمرون</t>
  </si>
  <si>
    <t>Portugal</t>
  </si>
  <si>
    <t>Portugali</t>
  </si>
  <si>
    <t>البرتغال</t>
  </si>
  <si>
    <t>Պորտուգալիա</t>
  </si>
  <si>
    <t>Portuqaliya</t>
  </si>
  <si>
    <t>Португалия</t>
  </si>
  <si>
    <t>葡萄牙</t>
  </si>
  <si>
    <t>Portugalija</t>
  </si>
  <si>
    <t>Portugalsko</t>
  </si>
  <si>
    <t>პორტუგალიის</t>
  </si>
  <si>
    <t>Πορτογαλία</t>
  </si>
  <si>
    <t>פורטוגל</t>
  </si>
  <si>
    <t>Portugália</t>
  </si>
  <si>
    <t>Portogallo</t>
  </si>
  <si>
    <t>포르투갈</t>
  </si>
  <si>
    <t>Португалија</t>
  </si>
  <si>
    <t>Portugall</t>
  </si>
  <si>
    <t>پرتغال</t>
  </si>
  <si>
    <t>Portugalia</t>
  </si>
  <si>
    <t>Portugalska</t>
  </si>
  <si>
    <t>โปรตุเกส</t>
  </si>
  <si>
    <t>Portekiz</t>
  </si>
  <si>
    <t>Bồ Đào Nha</t>
  </si>
  <si>
    <t>Португалія</t>
  </si>
  <si>
    <t>پرتگال</t>
  </si>
  <si>
    <t>Ghana</t>
  </si>
  <si>
    <t>Ghanë</t>
  </si>
  <si>
    <t>غانا</t>
  </si>
  <si>
    <t>Գանա</t>
  </si>
  <si>
    <t>Qana</t>
  </si>
  <si>
    <t>Гана</t>
  </si>
  <si>
    <t>加纳</t>
  </si>
  <si>
    <t>加納</t>
  </si>
  <si>
    <t>Gana</t>
  </si>
  <si>
    <t>ᲒᲐᲜᲐᲜᲐ</t>
  </si>
  <si>
    <t>Γκάνα</t>
  </si>
  <si>
    <t>גאנה</t>
  </si>
  <si>
    <t>Ghána</t>
  </si>
  <si>
    <t>가나</t>
  </si>
  <si>
    <t>غنا</t>
  </si>
  <si>
    <t>ประเทศกานา</t>
  </si>
  <si>
    <t>گھانا</t>
  </si>
  <si>
    <t>Uruguay</t>
  </si>
  <si>
    <t>أوروغواي</t>
  </si>
  <si>
    <t>Ուրուգվայ</t>
  </si>
  <si>
    <t>Uruqvay</t>
  </si>
  <si>
    <t>Уругвай</t>
  </si>
  <si>
    <t>Uruguai</t>
  </si>
  <si>
    <t>乌拉圭</t>
  </si>
  <si>
    <t>烏拉圭</t>
  </si>
  <si>
    <t>Urugvaj</t>
  </si>
  <si>
    <t>ურუგვაის</t>
  </si>
  <si>
    <t>Ουρουγουάη</t>
  </si>
  <si>
    <t>אורוגוואי</t>
  </si>
  <si>
    <t>우루과이</t>
  </si>
  <si>
    <t>Urugvajus</t>
  </si>
  <si>
    <t>Уругвај</t>
  </si>
  <si>
    <t>Urugwaj</t>
  </si>
  <si>
    <t>اروگوئه</t>
  </si>
  <si>
    <t>Uruguaj</t>
  </si>
  <si>
    <t>ประเทศอุรุกวัย</t>
  </si>
  <si>
    <t>یوراگوئے</t>
  </si>
  <si>
    <t>Korea Republic</t>
  </si>
  <si>
    <t>جمهورية كوريا</t>
  </si>
  <si>
    <t>Կորեայի Հանրապետություն</t>
  </si>
  <si>
    <t>Koreya Respublikası</t>
  </si>
  <si>
    <t>Република Корея</t>
  </si>
  <si>
    <t>República de Corea</t>
  </si>
  <si>
    <t>韩国</t>
  </si>
  <si>
    <t>韓國</t>
  </si>
  <si>
    <t>Južna Koreja</t>
  </si>
  <si>
    <t>Jižní Korea</t>
  </si>
  <si>
    <t>Sydkorea</t>
  </si>
  <si>
    <t>Zuid-Korea</t>
  </si>
  <si>
    <t>Suðurkorea</t>
  </si>
  <si>
    <t>République de Corée</t>
  </si>
  <si>
    <t>კორეის რესპუბლიკა</t>
  </si>
  <si>
    <t>Korea Republik</t>
  </si>
  <si>
    <t>Δημοκρατία της Κορέας</t>
  </si>
  <si>
    <t>קוריאה רפובליקה</t>
  </si>
  <si>
    <t>Dél-Korea</t>
  </si>
  <si>
    <t>Republik Korea</t>
  </si>
  <si>
    <t>Kórea</t>
  </si>
  <si>
    <t>Corea del Sud</t>
  </si>
  <si>
    <t>한국</t>
  </si>
  <si>
    <t>Korėjos Respublika</t>
  </si>
  <si>
    <t>Јужна Кореја</t>
  </si>
  <si>
    <t>Korea Repubblika</t>
  </si>
  <si>
    <t>Sør-Korea</t>
  </si>
  <si>
    <t>کره جنوبی</t>
  </si>
  <si>
    <t>Korea Południowa</t>
  </si>
  <si>
    <t>República da Coreia</t>
  </si>
  <si>
    <t>Coreea de Sud</t>
  </si>
  <si>
    <t>Република Кореја</t>
  </si>
  <si>
    <t>Južná Kórea</t>
  </si>
  <si>
    <t>เกาหลีใต้</t>
  </si>
  <si>
    <t>Kore Cumhuriyeti</t>
  </si>
  <si>
    <t>Hàn Quốc</t>
  </si>
  <si>
    <t>Південна Корея</t>
  </si>
  <si>
    <t>جمہوریہ کوریا</t>
  </si>
  <si>
    <t>South Africa</t>
  </si>
  <si>
    <t>Afrika e Jugut</t>
  </si>
  <si>
    <t>جنوب أفريقيا</t>
  </si>
  <si>
    <t>Հարավային Աֆրիկա</t>
  </si>
  <si>
    <t>Cənubi Afrika</t>
  </si>
  <si>
    <t>Южна Африка</t>
  </si>
  <si>
    <t>Sud-àfrica</t>
  </si>
  <si>
    <t>南非</t>
  </si>
  <si>
    <t>Južna Afrika</t>
  </si>
  <si>
    <t>Jižní Afrika</t>
  </si>
  <si>
    <t>Sydafrika</t>
  </si>
  <si>
    <t>Zuid-Afrika</t>
  </si>
  <si>
    <t>Afrique du Sud</t>
  </si>
  <si>
    <t>სამხრეთ აფრიკა</t>
  </si>
  <si>
    <t>Südafrika</t>
  </si>
  <si>
    <t>Νότια Αφρική</t>
  </si>
  <si>
    <t>דרום אפריקה</t>
  </si>
  <si>
    <t>Dél-Afrika</t>
  </si>
  <si>
    <t>Afrika Selatan</t>
  </si>
  <si>
    <t>Suður-Afríka</t>
  </si>
  <si>
    <t>Sudafrica</t>
  </si>
  <si>
    <t>남아프리카공화국</t>
  </si>
  <si>
    <t>Pietų Afrika</t>
  </si>
  <si>
    <t>Јужна Африка</t>
  </si>
  <si>
    <t>l-Afrika t'Isfel</t>
  </si>
  <si>
    <t>Sør-Afrika</t>
  </si>
  <si>
    <t>آفریقای جنوبی</t>
  </si>
  <si>
    <t>Republika Południowej Afryki</t>
  </si>
  <si>
    <t>África do Sul</t>
  </si>
  <si>
    <t>Africa de Sud</t>
  </si>
  <si>
    <t>Južná Afrika</t>
  </si>
  <si>
    <t>Sudáfrica</t>
  </si>
  <si>
    <t>แอฟริกาใต้</t>
  </si>
  <si>
    <t>Güney Afrika</t>
  </si>
  <si>
    <t>Nam Phi</t>
  </si>
  <si>
    <t>Південна Африка</t>
  </si>
  <si>
    <t>جنوبی افریقہ</t>
  </si>
  <si>
    <t>Bosnia and Herzegovina</t>
  </si>
  <si>
    <t>Bosnjë dhe Hercegovinë</t>
  </si>
  <si>
    <t>البوسنة والهرسك</t>
  </si>
  <si>
    <t>Բոսնիա և Հերցեգովինա</t>
  </si>
  <si>
    <t>Bosniya və Herseqovina</t>
  </si>
  <si>
    <t>Босна и Херцеговина</t>
  </si>
  <si>
    <t>Bòsnia i Hercegovina</t>
  </si>
  <si>
    <t>波斯尼亚和黑塞哥维那</t>
  </si>
  <si>
    <t>波士尼亞與赫塞哥維納</t>
  </si>
  <si>
    <t>Bosna i Hercegovina</t>
  </si>
  <si>
    <t>Bosna a Hercegovina</t>
  </si>
  <si>
    <t>Bosnien-Hercegovina</t>
  </si>
  <si>
    <t>Bosnië en Herzegovina</t>
  </si>
  <si>
    <t>Bosnie-Herzégovine</t>
  </si>
  <si>
    <t>ბოსნია და ჰერცეგოვინა</t>
  </si>
  <si>
    <t>Bosnien und Herzegowina</t>
  </si>
  <si>
    <t>Βοσνία και Ερζεγοβίνη</t>
  </si>
  <si>
    <t>בוסניה והרצגובינה</t>
  </si>
  <si>
    <t>Bosznia-Hercegovina</t>
  </si>
  <si>
    <t>Bosnia dan Herzegovina</t>
  </si>
  <si>
    <t>Bosnía og Hersegóvína</t>
  </si>
  <si>
    <t>Bosnia ed Erzegovina</t>
  </si>
  <si>
    <t>보스니아 헤르체고비나</t>
  </si>
  <si>
    <t>Bosnija ir Hercegovina</t>
  </si>
  <si>
    <t>il-Bożnija-Ħerzegovina</t>
  </si>
  <si>
    <t>Bosnia-Hercegovina</t>
  </si>
  <si>
    <t>بوسنی و هرزگوین</t>
  </si>
  <si>
    <t>Bośnia i Hercegowina</t>
  </si>
  <si>
    <t>Bósnia e Herzegovina</t>
  </si>
  <si>
    <t>Bosnia și Herțegovina</t>
  </si>
  <si>
    <t>Bosna in Hercegovina</t>
  </si>
  <si>
    <t>Bosnia y Herzegovina</t>
  </si>
  <si>
    <t>Bosnien och Hercegovina</t>
  </si>
  <si>
    <t>บอสเนียและเฮอร์เซโกวีนา</t>
  </si>
  <si>
    <t>Bosna Hersek</t>
  </si>
  <si>
    <t>Bosnia và Herzegovina</t>
  </si>
  <si>
    <t>Боснія і Герцеговина</t>
  </si>
  <si>
    <t>بوسنیا اور ہرزیگووینا</t>
  </si>
  <si>
    <t>Czech Republic</t>
  </si>
  <si>
    <t>Republika Çeke</t>
  </si>
  <si>
    <t>الجمهورية التشيكية</t>
  </si>
  <si>
    <t>Չեխիայի Հանրապետություն</t>
  </si>
  <si>
    <t>Çexiya</t>
  </si>
  <si>
    <t>Чехия</t>
  </si>
  <si>
    <t>República Txeca</t>
  </si>
  <si>
    <t>捷克共和国</t>
  </si>
  <si>
    <t>捷克共和國</t>
  </si>
  <si>
    <t>Češka</t>
  </si>
  <si>
    <t>Česká republika</t>
  </si>
  <si>
    <t>Tjekkiet</t>
  </si>
  <si>
    <t>Tsjechische Republiek</t>
  </si>
  <si>
    <t>République tchèque</t>
  </si>
  <si>
    <t>ჩეხეთის რესპუბლიკა</t>
  </si>
  <si>
    <t>Tschechische Republik</t>
  </si>
  <si>
    <t>Τσεχική Δημοκρατία</t>
  </si>
  <si>
    <t>צ'כיה</t>
  </si>
  <si>
    <t>Cseh Köztársaság</t>
  </si>
  <si>
    <t>Republik Ceko</t>
  </si>
  <si>
    <t>Tékkland</t>
  </si>
  <si>
    <t>Repubblica Ceca</t>
  </si>
  <si>
    <t>체코 공화국</t>
  </si>
  <si>
    <t>Čekijos Respublika</t>
  </si>
  <si>
    <t>Чешка Република</t>
  </si>
  <si>
    <t>Repubblika Ċeka</t>
  </si>
  <si>
    <t>Tsjekkia</t>
  </si>
  <si>
    <t>جمهوری چک</t>
  </si>
  <si>
    <t>Czechy</t>
  </si>
  <si>
    <t>República Tcheca</t>
  </si>
  <si>
    <t>Republica Cehă</t>
  </si>
  <si>
    <t>Češka republika</t>
  </si>
  <si>
    <t>República Checa</t>
  </si>
  <si>
    <t>Tjeckien</t>
  </si>
  <si>
    <t>สาธารณรัฐเช็ก</t>
  </si>
  <si>
    <t>Çek Cumhuriyeti</t>
  </si>
  <si>
    <t>Cộng hòa Séc</t>
  </si>
  <si>
    <t>Чеська Республіка</t>
  </si>
  <si>
    <t>جمہوریہ چیک</t>
  </si>
  <si>
    <t>Haiti</t>
  </si>
  <si>
    <t>هايتي</t>
  </si>
  <si>
    <t>Հայիթի</t>
  </si>
  <si>
    <t>Хаити</t>
  </si>
  <si>
    <t>Haití</t>
  </si>
  <si>
    <t>海地</t>
  </si>
  <si>
    <t>Haïti</t>
  </si>
  <si>
    <t>ჰაიტი</t>
  </si>
  <si>
    <t>Αΐτη</t>
  </si>
  <si>
    <t>האיטי</t>
  </si>
  <si>
    <t>Haítí</t>
  </si>
  <si>
    <t>아이티</t>
  </si>
  <si>
    <t>Haitis</t>
  </si>
  <si>
    <t>Ħaiti</t>
  </si>
  <si>
    <t>هائیتی</t>
  </si>
  <si>
    <t>เฮติ</t>
  </si>
  <si>
    <t>Гаїті</t>
  </si>
  <si>
    <t>ہیٹی</t>
  </si>
  <si>
    <t>Scotland</t>
  </si>
  <si>
    <t>Skoci</t>
  </si>
  <si>
    <t>اسكتلندا</t>
  </si>
  <si>
    <t>Շոտլանդիա</t>
  </si>
  <si>
    <t>Şotlandiya</t>
  </si>
  <si>
    <t>Шотландия</t>
  </si>
  <si>
    <t>Escòcia</t>
  </si>
  <si>
    <t>苏格兰</t>
  </si>
  <si>
    <t>蘇格蘭</t>
  </si>
  <si>
    <t>Škotska</t>
  </si>
  <si>
    <t>Skotsko</t>
  </si>
  <si>
    <t>Skotland</t>
  </si>
  <si>
    <t>Schotland</t>
  </si>
  <si>
    <t>Écosse</t>
  </si>
  <si>
    <t>შოტლანდია</t>
  </si>
  <si>
    <t>Schottland</t>
  </si>
  <si>
    <t>Σκωτία</t>
  </si>
  <si>
    <t>סקוטלנד</t>
  </si>
  <si>
    <t>Skócia</t>
  </si>
  <si>
    <t>Skotlandia</t>
  </si>
  <si>
    <t>Scozia</t>
  </si>
  <si>
    <t>스코틀랜드</t>
  </si>
  <si>
    <t>Škotija</t>
  </si>
  <si>
    <t>Шкотска</t>
  </si>
  <si>
    <t>l-Iskozja</t>
  </si>
  <si>
    <t>Skottland</t>
  </si>
  <si>
    <t>اسکاتلند</t>
  </si>
  <si>
    <t>Szkocja</t>
  </si>
  <si>
    <t>Escócia</t>
  </si>
  <si>
    <t>Scoţia</t>
  </si>
  <si>
    <t>Škótsko</t>
  </si>
  <si>
    <t>Escocia</t>
  </si>
  <si>
    <t>สกอตแลนด์</t>
  </si>
  <si>
    <t>İskoçya</t>
  </si>
  <si>
    <t>Шотландія</t>
  </si>
  <si>
    <t>سکاٹ لینڈ</t>
  </si>
  <si>
    <t>Paraguay</t>
  </si>
  <si>
    <t>Paraguai</t>
  </si>
  <si>
    <t>باراغواي</t>
  </si>
  <si>
    <t>Պարագվայ</t>
  </si>
  <si>
    <t>Paraqvay</t>
  </si>
  <si>
    <t>Парагвай</t>
  </si>
  <si>
    <t>巴拉圭</t>
  </si>
  <si>
    <t>Paragvaj</t>
  </si>
  <si>
    <t>პარაგვაი</t>
  </si>
  <si>
    <t>Παραγουάη</t>
  </si>
  <si>
    <t>פרגוואי</t>
  </si>
  <si>
    <t>Paragvæ</t>
  </si>
  <si>
    <t>파라과이</t>
  </si>
  <si>
    <t>Paragvajus</t>
  </si>
  <si>
    <t>Парагвај</t>
  </si>
  <si>
    <t>Paragwaj</t>
  </si>
  <si>
    <t>پاراگوئه</t>
  </si>
  <si>
    <t>Paraguaj</t>
  </si>
  <si>
    <t>ปารากวัย</t>
  </si>
  <si>
    <t>پیراگوئے</t>
  </si>
  <si>
    <t>Turkey</t>
  </si>
  <si>
    <t>Turqi</t>
  </si>
  <si>
    <t>تركيا</t>
  </si>
  <si>
    <t>Թուրքիա</t>
  </si>
  <si>
    <t>Türkiyə</t>
  </si>
  <si>
    <t>Турция</t>
  </si>
  <si>
    <t>Turquia</t>
  </si>
  <si>
    <t>土耳其</t>
  </si>
  <si>
    <t>Turska</t>
  </si>
  <si>
    <t>Turecko</t>
  </si>
  <si>
    <t>Tyrkiet</t>
  </si>
  <si>
    <t>Turkije</t>
  </si>
  <si>
    <t>Turquie</t>
  </si>
  <si>
    <t>თურქეთი</t>
  </si>
  <si>
    <t>Türkei</t>
  </si>
  <si>
    <t>Τουρκία</t>
  </si>
  <si>
    <t>טורקיה</t>
  </si>
  <si>
    <t>Törökország</t>
  </si>
  <si>
    <t>Turki</t>
  </si>
  <si>
    <t>Tyrkland</t>
  </si>
  <si>
    <t>Turchia</t>
  </si>
  <si>
    <t>터키</t>
  </si>
  <si>
    <t>Turkija</t>
  </si>
  <si>
    <t>Турција</t>
  </si>
  <si>
    <t>Tyrkia</t>
  </si>
  <si>
    <t>ترکیه</t>
  </si>
  <si>
    <t>Turcja</t>
  </si>
  <si>
    <t>Turcia</t>
  </si>
  <si>
    <t>Турска</t>
  </si>
  <si>
    <t>Turčija</t>
  </si>
  <si>
    <t>Turquía</t>
  </si>
  <si>
    <t>Turkiet</t>
  </si>
  <si>
    <t>ตุรกี</t>
  </si>
  <si>
    <t>Türkiye</t>
  </si>
  <si>
    <t>Thổ Nhĩ Kỳ</t>
  </si>
  <si>
    <t>Туреччина</t>
  </si>
  <si>
    <t>ترکی</t>
  </si>
  <si>
    <t>Curaçao</t>
  </si>
  <si>
    <t>Kurasao</t>
  </si>
  <si>
    <t>كوراساو</t>
  </si>
  <si>
    <t>Կյուրասաո</t>
  </si>
  <si>
    <t>Kürəsao</t>
  </si>
  <si>
    <t>Кюрасао</t>
  </si>
  <si>
    <t>库拉索</t>
  </si>
  <si>
    <t>庫拉索</t>
  </si>
  <si>
    <t>Curacao</t>
  </si>
  <si>
    <t>კიურასაო</t>
  </si>
  <si>
    <t>Κουράσω</t>
  </si>
  <si>
    <t>קוראסאו</t>
  </si>
  <si>
    <t>퀴라소</t>
  </si>
  <si>
    <t>Kiurasao</t>
  </si>
  <si>
    <t>Курасао</t>
  </si>
  <si>
    <t>کوراسائو</t>
  </si>
  <si>
    <t>Curazao</t>
  </si>
  <si>
    <t>คูราเซา</t>
  </si>
  <si>
    <t>Ivory Coast</t>
  </si>
  <si>
    <t>Bregu i Fildishtë</t>
  </si>
  <si>
    <t>ساحل العاج</t>
  </si>
  <si>
    <t>Կոտ դ'Իվուար</t>
  </si>
  <si>
    <t>Fil Dişi Sahili</t>
  </si>
  <si>
    <t>Кот д'Ивоар</t>
  </si>
  <si>
    <t>Costa d'Ivori</t>
  </si>
  <si>
    <t>科特迪瓦</t>
  </si>
  <si>
    <t>Obala Bjelokosti</t>
  </si>
  <si>
    <t>Pobřeží slonoviny</t>
  </si>
  <si>
    <t>Elfenbenskysten</t>
  </si>
  <si>
    <t>Ivoorkust</t>
  </si>
  <si>
    <t>Côte d'Ivoire</t>
  </si>
  <si>
    <t>კოტ-დ’ივუარი</t>
  </si>
  <si>
    <t>Elfenbeinküste</t>
  </si>
  <si>
    <t>Ακτή Ελεφαντοστού</t>
  </si>
  <si>
    <t>חוף השנהב</t>
  </si>
  <si>
    <t>Elefántcsontpart</t>
  </si>
  <si>
    <t>Pantai Gading</t>
  </si>
  <si>
    <t>Fílabeinsströndin</t>
  </si>
  <si>
    <t>Costa d'Avorio</t>
  </si>
  <si>
    <t>상아 해안</t>
  </si>
  <si>
    <t>Dramblio Kaulo Krantas</t>
  </si>
  <si>
    <t>Брегот на Слоновата Коска</t>
  </si>
  <si>
    <t>Kosta tal-Avorju</t>
  </si>
  <si>
    <t>ساحل عاج</t>
  </si>
  <si>
    <t>Wybrzeże Kości Słoniowej</t>
  </si>
  <si>
    <t>Costa do Marfim</t>
  </si>
  <si>
    <t>Coasta de Fildeș</t>
  </si>
  <si>
    <t>Обала Слоноваче</t>
  </si>
  <si>
    <t>Pobrežie Slonoviny</t>
  </si>
  <si>
    <t>Slonokoščena obala</t>
  </si>
  <si>
    <t>Costa de Marfil</t>
  </si>
  <si>
    <t>Elfenbenskusten</t>
  </si>
  <si>
    <t>ไอวอรี่โคสต์</t>
  </si>
  <si>
    <t>Fildişi Sahili</t>
  </si>
  <si>
    <t>Bờ Biển Ngà</t>
  </si>
  <si>
    <t>Кот-д'Івуар</t>
  </si>
  <si>
    <t>آئیوری کوسٹ</t>
  </si>
  <si>
    <t>Sweden</t>
  </si>
  <si>
    <t>Suedi</t>
  </si>
  <si>
    <t>السويد</t>
  </si>
  <si>
    <t>Շվեդիա</t>
  </si>
  <si>
    <t>İsveç</t>
  </si>
  <si>
    <t>Швеция</t>
  </si>
  <si>
    <t>Suècia</t>
  </si>
  <si>
    <t>瑞典</t>
  </si>
  <si>
    <t>Švedska</t>
  </si>
  <si>
    <t>Švédsko</t>
  </si>
  <si>
    <t>Sverige</t>
  </si>
  <si>
    <t>Zweden</t>
  </si>
  <si>
    <t>Suède</t>
  </si>
  <si>
    <t>შვედეთი</t>
  </si>
  <si>
    <t>Schweden</t>
  </si>
  <si>
    <t>Σουηδία</t>
  </si>
  <si>
    <t>שבדיה</t>
  </si>
  <si>
    <t>Svédország</t>
  </si>
  <si>
    <t>Swedia</t>
  </si>
  <si>
    <t>Svíþjóð</t>
  </si>
  <si>
    <t>Svezia</t>
  </si>
  <si>
    <t>스웨덴</t>
  </si>
  <si>
    <t>Švedija</t>
  </si>
  <si>
    <t>Шведска</t>
  </si>
  <si>
    <t>l-Iżvezja</t>
  </si>
  <si>
    <t>سوئد</t>
  </si>
  <si>
    <t>Szwecja</t>
  </si>
  <si>
    <t>Suécia</t>
  </si>
  <si>
    <t>Suedia</t>
  </si>
  <si>
    <t>Suecia</t>
  </si>
  <si>
    <t>สวีเดน</t>
  </si>
  <si>
    <t>Thụy Điển</t>
  </si>
  <si>
    <t>Швеція</t>
  </si>
  <si>
    <t>سویڈن</t>
  </si>
  <si>
    <t>Egypt</t>
  </si>
  <si>
    <t>Egjipti</t>
  </si>
  <si>
    <t>مصر</t>
  </si>
  <si>
    <t>Եգիպտոս</t>
  </si>
  <si>
    <t>Misir</t>
  </si>
  <si>
    <t>Египет</t>
  </si>
  <si>
    <t>Egipte</t>
  </si>
  <si>
    <t>埃及</t>
  </si>
  <si>
    <t>Egipat</t>
  </si>
  <si>
    <t>Egypten</t>
  </si>
  <si>
    <t>Egypte</t>
  </si>
  <si>
    <t>ეგვიპტე</t>
  </si>
  <si>
    <t>Ägypten</t>
  </si>
  <si>
    <t>Αίγυπτος</t>
  </si>
  <si>
    <t>מִצְרַיִם</t>
  </si>
  <si>
    <t>Egyiptom</t>
  </si>
  <si>
    <t>Mesir</t>
  </si>
  <si>
    <t>Egyptaland</t>
  </si>
  <si>
    <t>Egitto</t>
  </si>
  <si>
    <t>이집트</t>
  </si>
  <si>
    <t>Egiptas</t>
  </si>
  <si>
    <t>l-Eġittu</t>
  </si>
  <si>
    <t>Egipt</t>
  </si>
  <si>
    <t>Egito</t>
  </si>
  <si>
    <t>Египат</t>
  </si>
  <si>
    <t>Egipto</t>
  </si>
  <si>
    <t>อียิปต์</t>
  </si>
  <si>
    <t>Mısır</t>
  </si>
  <si>
    <t>Ai Cập</t>
  </si>
  <si>
    <t>Єгипет</t>
  </si>
  <si>
    <t>New Zealand</t>
  </si>
  <si>
    <t>Zelanda e Re</t>
  </si>
  <si>
    <t>نيوزيلندا</t>
  </si>
  <si>
    <t>Նոր Զելանդիա</t>
  </si>
  <si>
    <t>Yeni Zelandiya</t>
  </si>
  <si>
    <t>Нова Зеландия</t>
  </si>
  <si>
    <t>Nova Zelanda</t>
  </si>
  <si>
    <t>新西兰</t>
  </si>
  <si>
    <t>紐西蘭</t>
  </si>
  <si>
    <t>Novi Zeland</t>
  </si>
  <si>
    <t>Nový Zéland</t>
  </si>
  <si>
    <t>Nieuw-Zeeland</t>
  </si>
  <si>
    <t>Nouvelle-Zélande</t>
  </si>
  <si>
    <t>ახალი ზელანდია</t>
  </si>
  <si>
    <t>Neuseeland</t>
  </si>
  <si>
    <t>Νέα Ζηλανδία</t>
  </si>
  <si>
    <t>ניו זילנד</t>
  </si>
  <si>
    <t>Új-Zéland</t>
  </si>
  <si>
    <t>Selandia Baru</t>
  </si>
  <si>
    <t>Nýja-Sjáland</t>
  </si>
  <si>
    <t>Nuova Zelanda</t>
  </si>
  <si>
    <t>뉴질랜드</t>
  </si>
  <si>
    <t>Naujoji Zelandija</t>
  </si>
  <si>
    <t>Нов Зеланд</t>
  </si>
  <si>
    <t>نیوزیلند</t>
  </si>
  <si>
    <t>Nowa Zelandia</t>
  </si>
  <si>
    <t>Nova Zelândia</t>
  </si>
  <si>
    <t>Noua Zeelandă</t>
  </si>
  <si>
    <t>Нови Зеланд</t>
  </si>
  <si>
    <t>Nova Zelandija</t>
  </si>
  <si>
    <t>Nueva Zelanda</t>
  </si>
  <si>
    <t>Nya Zeeland</t>
  </si>
  <si>
    <t>นิวซีแลนด์</t>
  </si>
  <si>
    <t>Yeni Zelanda</t>
  </si>
  <si>
    <t>Нова Зеландія</t>
  </si>
  <si>
    <t>نیوزی لینڈ</t>
  </si>
  <si>
    <t>Cape Verde</t>
  </si>
  <si>
    <t>Kepi ​​i Gjelbër</t>
  </si>
  <si>
    <t>الرأس الأخضر</t>
  </si>
  <si>
    <t>Կաբո Վերդե</t>
  </si>
  <si>
    <t>Kabo-Verde</t>
  </si>
  <si>
    <t>Кабо Верде</t>
  </si>
  <si>
    <t>Cap Verd</t>
  </si>
  <si>
    <t>佛得角</t>
  </si>
  <si>
    <t>維德角</t>
  </si>
  <si>
    <t>Zelenortski Otoci</t>
  </si>
  <si>
    <t>Kapverdy</t>
  </si>
  <si>
    <t>Kap Verde</t>
  </si>
  <si>
    <t>Kaapverdië</t>
  </si>
  <si>
    <t>Cap-Vert</t>
  </si>
  <si>
    <t>კაბო-ვერდე</t>
  </si>
  <si>
    <t>Πράσινο Ακρωτήριο</t>
  </si>
  <si>
    <t>כף ורדה</t>
  </si>
  <si>
    <t>Zöld-foki Köztársaság</t>
  </si>
  <si>
    <t>Tanjung Verde</t>
  </si>
  <si>
    <t>Grænhöfðaeyjar</t>
  </si>
  <si>
    <t>Capo Verde</t>
  </si>
  <si>
    <t>카보베르데</t>
  </si>
  <si>
    <t>Žaliasis Kyšulys</t>
  </si>
  <si>
    <t>Зелен ’Рт</t>
  </si>
  <si>
    <t>Kapp Verde</t>
  </si>
  <si>
    <t>کیپ ورد</t>
  </si>
  <si>
    <t>Republika Zielonego Przylądka</t>
  </si>
  <si>
    <t>Cabo Verde</t>
  </si>
  <si>
    <t>Capul Verde</t>
  </si>
  <si>
    <t>Зеленортска Острва</t>
  </si>
  <si>
    <t>Zelenortski otoki</t>
  </si>
  <si>
    <t>เคปเวอร์เด</t>
  </si>
  <si>
    <t>Yeşil Burun Adaları</t>
  </si>
  <si>
    <t>Кабо-Верде</t>
  </si>
  <si>
    <t>کیپ وردے</t>
  </si>
  <si>
    <t>Iraq</t>
  </si>
  <si>
    <t>Iraku</t>
  </si>
  <si>
    <t>العراق</t>
  </si>
  <si>
    <t>Իրաք</t>
  </si>
  <si>
    <t>İraq</t>
  </si>
  <si>
    <t>Ирак</t>
  </si>
  <si>
    <t>伊拉克</t>
  </si>
  <si>
    <t>Irak</t>
  </si>
  <si>
    <t>Irák</t>
  </si>
  <si>
    <t>ერაყი</t>
  </si>
  <si>
    <t>Ιράκ</t>
  </si>
  <si>
    <t>עִירַאק</t>
  </si>
  <si>
    <t>Írak</t>
  </si>
  <si>
    <t>이라크</t>
  </si>
  <si>
    <t>Irakas</t>
  </si>
  <si>
    <t>l-Iraq</t>
  </si>
  <si>
    <t>عراق</t>
  </si>
  <si>
    <t>Iraque</t>
  </si>
  <si>
    <t>อิรัก</t>
  </si>
  <si>
    <t>Ірак</t>
  </si>
  <si>
    <t>Norway</t>
  </si>
  <si>
    <t>Norvegji</t>
  </si>
  <si>
    <t>النرويج</t>
  </si>
  <si>
    <t>Նորվեգիա</t>
  </si>
  <si>
    <t>Norveç</t>
  </si>
  <si>
    <t>Норвегия</t>
  </si>
  <si>
    <t>Noruega</t>
  </si>
  <si>
    <t>挪威</t>
  </si>
  <si>
    <t>Norveška</t>
  </si>
  <si>
    <t>Norsko</t>
  </si>
  <si>
    <t>Norge</t>
  </si>
  <si>
    <t>Noorwegen</t>
  </si>
  <si>
    <t>Norvège</t>
  </si>
  <si>
    <t>ნორვეგია</t>
  </si>
  <si>
    <t>Norwegen</t>
  </si>
  <si>
    <t>Νορβηγία</t>
  </si>
  <si>
    <t>נורבגיה</t>
  </si>
  <si>
    <t>Norvégia</t>
  </si>
  <si>
    <t>Norwegia</t>
  </si>
  <si>
    <t>Noregur</t>
  </si>
  <si>
    <t>Norvegia</t>
  </si>
  <si>
    <t>노르웨이</t>
  </si>
  <si>
    <t>Norvegija</t>
  </si>
  <si>
    <t>Норвешка</t>
  </si>
  <si>
    <t>in-Norveġja</t>
  </si>
  <si>
    <t>نروژ</t>
  </si>
  <si>
    <t>Nórsko</t>
  </si>
  <si>
    <t>นอร์เวย์</t>
  </si>
  <si>
    <t>Na Uy</t>
  </si>
  <si>
    <t>Норвегія</t>
  </si>
  <si>
    <t>ناروے</t>
  </si>
  <si>
    <t>Algeria</t>
  </si>
  <si>
    <t>Algjeri</t>
  </si>
  <si>
    <t>الجزائر</t>
  </si>
  <si>
    <t>Ալժիր</t>
  </si>
  <si>
    <t>Əlcəzair</t>
  </si>
  <si>
    <t>Алжир</t>
  </si>
  <si>
    <t>Algèria</t>
  </si>
  <si>
    <t>阿尔及利亚</t>
  </si>
  <si>
    <t>阿爾及利亞</t>
  </si>
  <si>
    <t>Alžir</t>
  </si>
  <si>
    <t>Alžírsko</t>
  </si>
  <si>
    <t>Algeriet</t>
  </si>
  <si>
    <t>Algerije</t>
  </si>
  <si>
    <t>Algérie</t>
  </si>
  <si>
    <t>ალჟირი</t>
  </si>
  <si>
    <t>Algerien</t>
  </si>
  <si>
    <t>Αλγερία</t>
  </si>
  <si>
    <t>אלג'יריה</t>
  </si>
  <si>
    <t>Algéria</t>
  </si>
  <si>
    <t>Aljazair</t>
  </si>
  <si>
    <t>Alsír</t>
  </si>
  <si>
    <t>알제리</t>
  </si>
  <si>
    <t>Alžyras</t>
  </si>
  <si>
    <t>Alġerija</t>
  </si>
  <si>
    <t>Algerie</t>
  </si>
  <si>
    <t>الجزایر</t>
  </si>
  <si>
    <t>Algieria</t>
  </si>
  <si>
    <t>Argélia</t>
  </si>
  <si>
    <t>Alžirija</t>
  </si>
  <si>
    <t>Argelia</t>
  </si>
  <si>
    <t>แอลจีเรีย</t>
  </si>
  <si>
    <t>Cezayir</t>
  </si>
  <si>
    <t>Austria</t>
  </si>
  <si>
    <t>Austri</t>
  </si>
  <si>
    <t>النمسا</t>
  </si>
  <si>
    <t>Ավստրիա</t>
  </si>
  <si>
    <t>Avstriya</t>
  </si>
  <si>
    <t>Австрия</t>
  </si>
  <si>
    <t>Àustria</t>
  </si>
  <si>
    <t>奥地利</t>
  </si>
  <si>
    <t>奧地利</t>
  </si>
  <si>
    <t>Austrija</t>
  </si>
  <si>
    <t>Rakousko</t>
  </si>
  <si>
    <t>Østrig</t>
  </si>
  <si>
    <t>Oostenrijk</t>
  </si>
  <si>
    <t>Autriche</t>
  </si>
  <si>
    <t>ავსტრია</t>
  </si>
  <si>
    <t>Österreich</t>
  </si>
  <si>
    <t>Αυστρία</t>
  </si>
  <si>
    <t>אוֹסְטְרֵיָה</t>
  </si>
  <si>
    <t>Ausztria</t>
  </si>
  <si>
    <t>Austurríki</t>
  </si>
  <si>
    <t>오스트리아</t>
  </si>
  <si>
    <t>Австрија</t>
  </si>
  <si>
    <t>l-Awstrija</t>
  </si>
  <si>
    <t>Østerrike</t>
  </si>
  <si>
    <t>اتریش</t>
  </si>
  <si>
    <t>Áustria</t>
  </si>
  <si>
    <t>Аустрија</t>
  </si>
  <si>
    <t>Rakúsko</t>
  </si>
  <si>
    <t>Avstrija</t>
  </si>
  <si>
    <t>Österrike</t>
  </si>
  <si>
    <t>ออสเตรีย</t>
  </si>
  <si>
    <t>Avusturya</t>
  </si>
  <si>
    <t>Áo</t>
  </si>
  <si>
    <t>Австрія</t>
  </si>
  <si>
    <t>آسٹریا</t>
  </si>
  <si>
    <t>Jordan</t>
  </si>
  <si>
    <t>Jordania</t>
  </si>
  <si>
    <t>الأردن</t>
  </si>
  <si>
    <t>Հորդանան</t>
  </si>
  <si>
    <t>İordaniya</t>
  </si>
  <si>
    <t>Йордания</t>
  </si>
  <si>
    <t>Jordània</t>
  </si>
  <si>
    <t>约旦</t>
  </si>
  <si>
    <t>約旦</t>
  </si>
  <si>
    <t>Jordán</t>
  </si>
  <si>
    <t>Jordanië</t>
  </si>
  <si>
    <t>Jordanie</t>
  </si>
  <si>
    <t>იორდანია</t>
  </si>
  <si>
    <t>Jordanien</t>
  </si>
  <si>
    <t>Ιορδανία</t>
  </si>
  <si>
    <t>יַרדֵן</t>
  </si>
  <si>
    <t>Jordánia</t>
  </si>
  <si>
    <t>Yordania</t>
  </si>
  <si>
    <t>Jórdanía</t>
  </si>
  <si>
    <t>Giordania</t>
  </si>
  <si>
    <t>요르단</t>
  </si>
  <si>
    <t>Jordanija</t>
  </si>
  <si>
    <t>Јордан</t>
  </si>
  <si>
    <t>Ġordan</t>
  </si>
  <si>
    <t>اردن</t>
  </si>
  <si>
    <t>Jordânia</t>
  </si>
  <si>
    <t>Iordania</t>
  </si>
  <si>
    <t>Jordánsko</t>
  </si>
  <si>
    <t>จอร์แดน</t>
  </si>
  <si>
    <t>Ürdün</t>
  </si>
  <si>
    <t>Йорданія</t>
  </si>
  <si>
    <t>DR Congo</t>
  </si>
  <si>
    <t>RD Kongos</t>
  </si>
  <si>
    <t xml:space="preserve"> الكونغو</t>
  </si>
  <si>
    <t>Կոնգոյի</t>
  </si>
  <si>
    <t>Konqo DR</t>
  </si>
  <si>
    <t>ДР Конго</t>
  </si>
  <si>
    <t>RD Congo</t>
  </si>
  <si>
    <t>刚果民主共和国</t>
  </si>
  <si>
    <t>剛果民主共和國</t>
  </si>
  <si>
    <t>DR Kongo</t>
  </si>
  <si>
    <t>კონგოს</t>
  </si>
  <si>
    <t>ΛΔ Κονγκό</t>
  </si>
  <si>
    <t>דמוקרטית קונגו</t>
  </si>
  <si>
    <t>Kongói</t>
  </si>
  <si>
    <t>RD Kongo</t>
  </si>
  <si>
    <t>Lýðveldið Kongó</t>
  </si>
  <si>
    <t>콩고민주공화국</t>
  </si>
  <si>
    <t>Kongo DR</t>
  </si>
  <si>
    <t>Repubblika tal-Kongo</t>
  </si>
  <si>
    <t>جمهوری دموکراتیک کنگو</t>
  </si>
  <si>
    <t>DR Konga</t>
  </si>
  <si>
    <t>สาธารณรัฐประชาธิปไตยคองโก</t>
  </si>
  <si>
    <t>Kongo</t>
  </si>
  <si>
    <t>CHDC Congo</t>
  </si>
  <si>
    <t>ڈی آر کانگو</t>
  </si>
  <si>
    <t>Uzbekistan</t>
  </si>
  <si>
    <t>Uzbekistani</t>
  </si>
  <si>
    <t>أوزبكستان</t>
  </si>
  <si>
    <t>Ուզբեկստան</t>
  </si>
  <si>
    <t>Özbəkistan</t>
  </si>
  <si>
    <t>Узбекистан</t>
  </si>
  <si>
    <t>乌兹别克斯坦</t>
  </si>
  <si>
    <t>烏茲別克</t>
  </si>
  <si>
    <t>Uzbekistán</t>
  </si>
  <si>
    <t>Usbekistan</t>
  </si>
  <si>
    <t>Oezbekistan</t>
  </si>
  <si>
    <t>Ouzbékistan</t>
  </si>
  <si>
    <t>უზბეკეთი</t>
  </si>
  <si>
    <t>Ουζμπεκιστάν</t>
  </si>
  <si>
    <t>אוזבקיסטן</t>
  </si>
  <si>
    <t>Üzbegisztán</t>
  </si>
  <si>
    <t>Úsbekistan</t>
  </si>
  <si>
    <t>우즈베키스탄</t>
  </si>
  <si>
    <t>Uzbekistanas</t>
  </si>
  <si>
    <t>l-Użbekistan</t>
  </si>
  <si>
    <t>ازبکستان</t>
  </si>
  <si>
    <t>Uzbequistão</t>
  </si>
  <si>
    <t>อุซเบกิสถาน</t>
  </si>
  <si>
    <t>Özbekistan</t>
  </si>
  <si>
    <t>Colombia</t>
  </si>
  <si>
    <t>Kolumbia</t>
  </si>
  <si>
    <t>كولومبيا</t>
  </si>
  <si>
    <t>Կոլումբիա</t>
  </si>
  <si>
    <t>Kolumbiya</t>
  </si>
  <si>
    <t>Колумбия</t>
  </si>
  <si>
    <t>Colòmbia</t>
  </si>
  <si>
    <t>哥伦比亚</t>
  </si>
  <si>
    <t>哥倫比亞</t>
  </si>
  <si>
    <t>Kolumbija</t>
  </si>
  <si>
    <t>Kolumbie</t>
  </si>
  <si>
    <t>Colombie</t>
  </si>
  <si>
    <t>კოლუმბია</t>
  </si>
  <si>
    <t>Kolumbien</t>
  </si>
  <si>
    <t>Κολομβία</t>
  </si>
  <si>
    <t>קולומביה</t>
  </si>
  <si>
    <t>Kólumbía</t>
  </si>
  <si>
    <t>콜롬비아</t>
  </si>
  <si>
    <t>Колумбија</t>
  </si>
  <si>
    <t>Kolombja</t>
  </si>
  <si>
    <t>کلمبیا</t>
  </si>
  <si>
    <t>Colômbia</t>
  </si>
  <si>
    <t>Columbia</t>
  </si>
  <si>
    <t>โคลอมเบีย</t>
  </si>
  <si>
    <t>Kolombiya</t>
  </si>
  <si>
    <t>Колумбія</t>
  </si>
  <si>
    <t>کولمبیا</t>
  </si>
  <si>
    <t>Panama</t>
  </si>
  <si>
    <t>بنما</t>
  </si>
  <si>
    <t>Պանամա</t>
  </si>
  <si>
    <t>Панама</t>
  </si>
  <si>
    <t>Panamà</t>
  </si>
  <si>
    <t>巴拿马</t>
  </si>
  <si>
    <t>巴拿馬</t>
  </si>
  <si>
    <t>პანამა</t>
  </si>
  <si>
    <t>Παναμάς</t>
  </si>
  <si>
    <t>פנמה</t>
  </si>
  <si>
    <t>파나마</t>
  </si>
  <si>
    <t>il-Panama</t>
  </si>
  <si>
    <t>پاناما</t>
  </si>
  <si>
    <t>Panamá</t>
  </si>
  <si>
    <t>ปานามา</t>
  </si>
  <si>
    <t>پانامہ</t>
  </si>
  <si>
    <t>1A</t>
  </si>
  <si>
    <t>A1</t>
  </si>
  <si>
    <t>A 그룹 1위</t>
  </si>
  <si>
    <t>اول گروه A</t>
  </si>
  <si>
    <t>ที่ 1 สาย A</t>
  </si>
  <si>
    <t>۱الف</t>
  </si>
  <si>
    <t>2A</t>
  </si>
  <si>
    <t>A2</t>
  </si>
  <si>
    <t>A 그룹 2위</t>
  </si>
  <si>
    <t>دوم گروه A</t>
  </si>
  <si>
    <t>ที่ 2 สาย A</t>
  </si>
  <si>
    <t>۲الف</t>
  </si>
  <si>
    <t>1B</t>
  </si>
  <si>
    <t>B1</t>
  </si>
  <si>
    <t>B 그룹 1위</t>
  </si>
  <si>
    <t>اول گروه B</t>
  </si>
  <si>
    <t>ที่ 1 สาย B</t>
  </si>
  <si>
    <t>۱ب</t>
  </si>
  <si>
    <t>2B</t>
  </si>
  <si>
    <t>B2</t>
  </si>
  <si>
    <t>B 그룹 2위</t>
  </si>
  <si>
    <t>دوم گروهB</t>
  </si>
  <si>
    <t>ที่ 2 สาย B</t>
  </si>
  <si>
    <t>۲ب</t>
  </si>
  <si>
    <t>1C</t>
  </si>
  <si>
    <t>C1</t>
  </si>
  <si>
    <t>1Γ</t>
  </si>
  <si>
    <t>C 그룹 1위</t>
  </si>
  <si>
    <t>1Ċ</t>
  </si>
  <si>
    <t>اول گروه C</t>
  </si>
  <si>
    <t>ที่ 1 สาย C</t>
  </si>
  <si>
    <t>۱ج</t>
  </si>
  <si>
    <t>2C</t>
  </si>
  <si>
    <t>C2</t>
  </si>
  <si>
    <t>2Γ</t>
  </si>
  <si>
    <t>C 그룹 2위</t>
  </si>
  <si>
    <t>2Ċ</t>
  </si>
  <si>
    <t>دوم گروه C</t>
  </si>
  <si>
    <t>ที่ 2 สาย C</t>
  </si>
  <si>
    <t>۲ج</t>
  </si>
  <si>
    <t>1D</t>
  </si>
  <si>
    <t>D1</t>
  </si>
  <si>
    <t>1Δ</t>
  </si>
  <si>
    <t>D 그룹 1위</t>
  </si>
  <si>
    <t>اول گروه D</t>
  </si>
  <si>
    <t>ที่ 1 สาย D</t>
  </si>
  <si>
    <t>۱د</t>
  </si>
  <si>
    <t>2D</t>
  </si>
  <si>
    <t>D2</t>
  </si>
  <si>
    <t>2Δ</t>
  </si>
  <si>
    <t>D 그룹 2위</t>
  </si>
  <si>
    <t>دوم گروه D</t>
  </si>
  <si>
    <t>ที่ 2 สาย D</t>
  </si>
  <si>
    <t>۲د</t>
  </si>
  <si>
    <t>1E</t>
  </si>
  <si>
    <t>E1</t>
  </si>
  <si>
    <t>1Ε</t>
  </si>
  <si>
    <t>E 그룹 1위</t>
  </si>
  <si>
    <t>اول گروه E</t>
  </si>
  <si>
    <t>ที่ 1 สาย E</t>
  </si>
  <si>
    <t>۱ھ</t>
  </si>
  <si>
    <t>2E</t>
  </si>
  <si>
    <t>E2</t>
  </si>
  <si>
    <t>2Ε</t>
  </si>
  <si>
    <t>E 그룹 2위</t>
  </si>
  <si>
    <t>دوم گروه E</t>
  </si>
  <si>
    <t>ที่ 2 สาย E</t>
  </si>
  <si>
    <t>۲ھ</t>
  </si>
  <si>
    <t>1F</t>
  </si>
  <si>
    <t>F1</t>
  </si>
  <si>
    <t>1ΣΤ</t>
  </si>
  <si>
    <t>F 그룹 1위</t>
  </si>
  <si>
    <t>اول گروه F</t>
  </si>
  <si>
    <t>ที่ 1 สาย F</t>
  </si>
  <si>
    <t>۱و</t>
  </si>
  <si>
    <t>2F</t>
  </si>
  <si>
    <t>F2</t>
  </si>
  <si>
    <t>2ΣΤ</t>
  </si>
  <si>
    <t>F 그룹 2위</t>
  </si>
  <si>
    <t>دوم گروه F</t>
  </si>
  <si>
    <t>ที่ 2 สาย F</t>
  </si>
  <si>
    <t>۲و</t>
  </si>
  <si>
    <t>1G</t>
  </si>
  <si>
    <t>G1</t>
  </si>
  <si>
    <t>1Ζ</t>
  </si>
  <si>
    <t>G 그룹 1위</t>
  </si>
  <si>
    <t>1Ġ</t>
  </si>
  <si>
    <t>اول گروه G</t>
  </si>
  <si>
    <t>ที่ 1 สาย G</t>
  </si>
  <si>
    <t>۱ز</t>
  </si>
  <si>
    <t>2G</t>
  </si>
  <si>
    <t>G2</t>
  </si>
  <si>
    <t>2Ζ</t>
  </si>
  <si>
    <t>G 그룹 2위</t>
  </si>
  <si>
    <t>2Ġ</t>
  </si>
  <si>
    <t>دوم گروه G</t>
  </si>
  <si>
    <t>ที่ 2 สาย G</t>
  </si>
  <si>
    <t>۲ز</t>
  </si>
  <si>
    <t>1H</t>
  </si>
  <si>
    <t>H1</t>
  </si>
  <si>
    <t>H 그룹 1위</t>
  </si>
  <si>
    <t>1Ħ</t>
  </si>
  <si>
    <t>اول گروه H</t>
  </si>
  <si>
    <t>ที่ 1 สาย H</t>
  </si>
  <si>
    <t>۱ح</t>
  </si>
  <si>
    <t>2H</t>
  </si>
  <si>
    <t>H2</t>
  </si>
  <si>
    <t>H 그룹 2위</t>
  </si>
  <si>
    <t>دوم گروه H</t>
  </si>
  <si>
    <t>ที่ 2 สาย H</t>
  </si>
  <si>
    <t>۲ح</t>
  </si>
  <si>
    <t>W49</t>
  </si>
  <si>
    <t>F49</t>
  </si>
  <si>
    <t>Q49</t>
  </si>
  <si>
    <t>G49</t>
  </si>
  <si>
    <t>49胜者</t>
  </si>
  <si>
    <t>V49</t>
  </si>
  <si>
    <t>მ49</t>
  </si>
  <si>
    <t>Ν49</t>
  </si>
  <si>
    <t>GY49</t>
  </si>
  <si>
    <t>16강전 경기1 승자</t>
  </si>
  <si>
    <t>L49</t>
  </si>
  <si>
    <t>П49</t>
  </si>
  <si>
    <t>R49</t>
  </si>
  <si>
    <t>برنده بازی 49</t>
  </si>
  <si>
    <t>C49</t>
  </si>
  <si>
    <t>P49</t>
  </si>
  <si>
    <t>ผู้ชนะนัดที่ 49</t>
  </si>
  <si>
    <t>T49</t>
  </si>
  <si>
    <t>Переможець 49</t>
  </si>
  <si>
    <t>۴۹ جیت</t>
  </si>
  <si>
    <t>W50</t>
  </si>
  <si>
    <t>F50</t>
  </si>
  <si>
    <t>Q50</t>
  </si>
  <si>
    <t>G50</t>
  </si>
  <si>
    <t>50胜者</t>
  </si>
  <si>
    <t>V50</t>
  </si>
  <si>
    <t>მ50</t>
  </si>
  <si>
    <t>Ν50</t>
  </si>
  <si>
    <t>GY50</t>
  </si>
  <si>
    <t>16강전 경기2 승자</t>
  </si>
  <si>
    <t>L50</t>
  </si>
  <si>
    <t>П50</t>
  </si>
  <si>
    <t>R50</t>
  </si>
  <si>
    <t>برنده بازی 50</t>
  </si>
  <si>
    <t>C50</t>
  </si>
  <si>
    <t>P50</t>
  </si>
  <si>
    <t>ผู้ชนะนัดที่ 50</t>
  </si>
  <si>
    <t>T50</t>
  </si>
  <si>
    <t>Переможець 50</t>
  </si>
  <si>
    <t>۵۰ جیت</t>
  </si>
  <si>
    <t>W51</t>
  </si>
  <si>
    <t>F51</t>
  </si>
  <si>
    <t>Q51</t>
  </si>
  <si>
    <t>G51</t>
  </si>
  <si>
    <t>51胜者</t>
  </si>
  <si>
    <t>V51</t>
  </si>
  <si>
    <t>მ51</t>
  </si>
  <si>
    <t>Ν51</t>
  </si>
  <si>
    <t>GY51</t>
  </si>
  <si>
    <t>16강전 경기3 승자</t>
  </si>
  <si>
    <t>L51</t>
  </si>
  <si>
    <t>П51</t>
  </si>
  <si>
    <t>R51</t>
  </si>
  <si>
    <t>برنده بازی 51</t>
  </si>
  <si>
    <t>C51</t>
  </si>
  <si>
    <t>P51</t>
  </si>
  <si>
    <t>ผู้ชนะนัดที่ 51</t>
  </si>
  <si>
    <t>T51</t>
  </si>
  <si>
    <t>Переможець 51</t>
  </si>
  <si>
    <t>۵۱ جیت</t>
  </si>
  <si>
    <t>W52</t>
  </si>
  <si>
    <t>F52</t>
  </si>
  <si>
    <t>Q52</t>
  </si>
  <si>
    <t>G52</t>
  </si>
  <si>
    <t>52胜者</t>
  </si>
  <si>
    <t>V52</t>
  </si>
  <si>
    <t>მ52</t>
  </si>
  <si>
    <t>Ν52</t>
  </si>
  <si>
    <t>GY52</t>
  </si>
  <si>
    <t>16강전 경기4 승자</t>
  </si>
  <si>
    <t>L52</t>
  </si>
  <si>
    <t>П52</t>
  </si>
  <si>
    <t>R52</t>
  </si>
  <si>
    <t>برنده بازی 52</t>
  </si>
  <si>
    <t>C52</t>
  </si>
  <si>
    <t>P52</t>
  </si>
  <si>
    <t>ผู้ชนะนัดที่ 52</t>
  </si>
  <si>
    <t>T52</t>
  </si>
  <si>
    <t>Переможець 52</t>
  </si>
  <si>
    <t>۵۲ جیت</t>
  </si>
  <si>
    <t>W53</t>
  </si>
  <si>
    <t>F53</t>
  </si>
  <si>
    <t>Q53</t>
  </si>
  <si>
    <t>G53</t>
  </si>
  <si>
    <t>53胜者</t>
  </si>
  <si>
    <t>V53</t>
  </si>
  <si>
    <t>მ53</t>
  </si>
  <si>
    <t>Ν53</t>
  </si>
  <si>
    <t>GY53</t>
  </si>
  <si>
    <t>16강전 경기5 승자</t>
  </si>
  <si>
    <t>L53</t>
  </si>
  <si>
    <t>П53</t>
  </si>
  <si>
    <t>R53</t>
  </si>
  <si>
    <t>برنده بازی 53</t>
  </si>
  <si>
    <t>C53</t>
  </si>
  <si>
    <t>P53</t>
  </si>
  <si>
    <t>ผู้ชนะนัดที่ 53</t>
  </si>
  <si>
    <t>T53</t>
  </si>
  <si>
    <t>Переможець 53</t>
  </si>
  <si>
    <t>۵۳ جیت</t>
  </si>
  <si>
    <t>W54</t>
  </si>
  <si>
    <t>F54</t>
  </si>
  <si>
    <t>Q54</t>
  </si>
  <si>
    <t>G54</t>
  </si>
  <si>
    <t>54胜者</t>
  </si>
  <si>
    <t>V54</t>
  </si>
  <si>
    <t>მ54</t>
  </si>
  <si>
    <t>Ν54</t>
  </si>
  <si>
    <t>GY54</t>
  </si>
  <si>
    <t>16강전 경기6 승자</t>
  </si>
  <si>
    <t>L54</t>
  </si>
  <si>
    <t>П54</t>
  </si>
  <si>
    <t>R54</t>
  </si>
  <si>
    <t>برنده بازی 54</t>
  </si>
  <si>
    <t>C54</t>
  </si>
  <si>
    <t>P54</t>
  </si>
  <si>
    <t>ผู้ชนะนัดที่ 54</t>
  </si>
  <si>
    <t>T54</t>
  </si>
  <si>
    <t>Переможець 54</t>
  </si>
  <si>
    <t>۵۴ جیت</t>
  </si>
  <si>
    <t>W55</t>
  </si>
  <si>
    <t>F55</t>
  </si>
  <si>
    <t>Q55</t>
  </si>
  <si>
    <t>G55</t>
  </si>
  <si>
    <t>55胜者</t>
  </si>
  <si>
    <t>V55</t>
  </si>
  <si>
    <t>მ55</t>
  </si>
  <si>
    <t>Ν55</t>
  </si>
  <si>
    <t>GY55</t>
  </si>
  <si>
    <t>16강전 경기7 승자</t>
  </si>
  <si>
    <t>L55</t>
  </si>
  <si>
    <t>П55</t>
  </si>
  <si>
    <t>R55</t>
  </si>
  <si>
    <t>برنده بازی 55</t>
  </si>
  <si>
    <t>C55</t>
  </si>
  <si>
    <t>P55</t>
  </si>
  <si>
    <t>ผู้ชนะนัดที่ 55</t>
  </si>
  <si>
    <t>T55</t>
  </si>
  <si>
    <t>Переможець 55</t>
  </si>
  <si>
    <t>۵۵ جیت</t>
  </si>
  <si>
    <t>W56</t>
  </si>
  <si>
    <t>F56</t>
  </si>
  <si>
    <t>Q56</t>
  </si>
  <si>
    <t>G56</t>
  </si>
  <si>
    <t>56胜者</t>
  </si>
  <si>
    <t>V56</t>
  </si>
  <si>
    <t>მ56</t>
  </si>
  <si>
    <t>Ν56</t>
  </si>
  <si>
    <t>GY56</t>
  </si>
  <si>
    <t>16강전 경기8 승자</t>
  </si>
  <si>
    <t>L56</t>
  </si>
  <si>
    <t>П56</t>
  </si>
  <si>
    <t>R56</t>
  </si>
  <si>
    <t>برنده بازی 56</t>
  </si>
  <si>
    <t>C56</t>
  </si>
  <si>
    <t>P56</t>
  </si>
  <si>
    <t>ผู้ชนะนัดที่ 56</t>
  </si>
  <si>
    <t>T56</t>
  </si>
  <si>
    <t>Переможець 56</t>
  </si>
  <si>
    <t>۵۶ جیت</t>
  </si>
  <si>
    <t>W57</t>
  </si>
  <si>
    <t>F57</t>
  </si>
  <si>
    <t>Q57</t>
  </si>
  <si>
    <t>G57</t>
  </si>
  <si>
    <t>57胜者</t>
  </si>
  <si>
    <t>V57</t>
  </si>
  <si>
    <t>მ57</t>
  </si>
  <si>
    <t>Ν57</t>
  </si>
  <si>
    <t>GY57</t>
  </si>
  <si>
    <t>8강전 경기1 승자</t>
  </si>
  <si>
    <t>L57</t>
  </si>
  <si>
    <t>П57</t>
  </si>
  <si>
    <t>R57</t>
  </si>
  <si>
    <t>برنده بازی 57</t>
  </si>
  <si>
    <t>C57</t>
  </si>
  <si>
    <t>P57</t>
  </si>
  <si>
    <t>ผู้ชนะนัดที่ 57</t>
  </si>
  <si>
    <t>T57</t>
  </si>
  <si>
    <t>Переможець 57</t>
  </si>
  <si>
    <t>۵۷ جیت</t>
  </si>
  <si>
    <t>W58</t>
  </si>
  <si>
    <t>F58</t>
  </si>
  <si>
    <t>Q58</t>
  </si>
  <si>
    <t>G58</t>
  </si>
  <si>
    <t>58胜者</t>
  </si>
  <si>
    <t>V58</t>
  </si>
  <si>
    <t>მ58</t>
  </si>
  <si>
    <t>Ν58</t>
  </si>
  <si>
    <t>GY58</t>
  </si>
  <si>
    <t>8강전 경기2 승자</t>
  </si>
  <si>
    <t>L58</t>
  </si>
  <si>
    <t>П58</t>
  </si>
  <si>
    <t>R58</t>
  </si>
  <si>
    <t>برنده بازی 58</t>
  </si>
  <si>
    <t>C58</t>
  </si>
  <si>
    <t>P58</t>
  </si>
  <si>
    <t>ผู้ชนะนัดที่ 58</t>
  </si>
  <si>
    <t>T58</t>
  </si>
  <si>
    <t>Переможець 58</t>
  </si>
  <si>
    <t>۵۸ جیت</t>
  </si>
  <si>
    <t>W59</t>
  </si>
  <si>
    <t>F59</t>
  </si>
  <si>
    <t>Q59</t>
  </si>
  <si>
    <t>G59</t>
  </si>
  <si>
    <t>59胜者</t>
  </si>
  <si>
    <t>V59</t>
  </si>
  <si>
    <t>მ59</t>
  </si>
  <si>
    <t>Ν59</t>
  </si>
  <si>
    <t>GY59</t>
  </si>
  <si>
    <t>8강전 경기3 승자</t>
  </si>
  <si>
    <t>L59</t>
  </si>
  <si>
    <t>П59</t>
  </si>
  <si>
    <t>R59</t>
  </si>
  <si>
    <t>برنده بازی 59</t>
  </si>
  <si>
    <t>C59</t>
  </si>
  <si>
    <t>P59</t>
  </si>
  <si>
    <t>ผู้ชนะนัดที่ 59</t>
  </si>
  <si>
    <t>T59</t>
  </si>
  <si>
    <t>Переможець 59</t>
  </si>
  <si>
    <t>۵۹ جیت</t>
  </si>
  <si>
    <t>W60</t>
  </si>
  <si>
    <t>F60</t>
  </si>
  <si>
    <t>Q60</t>
  </si>
  <si>
    <t>G60</t>
  </si>
  <si>
    <t>60胜者</t>
  </si>
  <si>
    <t>V60</t>
  </si>
  <si>
    <t>მ60</t>
  </si>
  <si>
    <t>Ν60</t>
  </si>
  <si>
    <t>GY60</t>
  </si>
  <si>
    <t>8강전 경기4 승자</t>
  </si>
  <si>
    <t>L60</t>
  </si>
  <si>
    <t>П60</t>
  </si>
  <si>
    <t>R60</t>
  </si>
  <si>
    <t>برنده بازی 60</t>
  </si>
  <si>
    <t>C60</t>
  </si>
  <si>
    <t>P60</t>
  </si>
  <si>
    <t>ผู้ชนะนัดที่ 60</t>
  </si>
  <si>
    <t>T60</t>
  </si>
  <si>
    <t>Переможець 60</t>
  </si>
  <si>
    <t>۶۰ جیت</t>
  </si>
  <si>
    <t>W61</t>
  </si>
  <si>
    <t>F61</t>
  </si>
  <si>
    <t>Q61</t>
  </si>
  <si>
    <t>G61</t>
  </si>
  <si>
    <t>61胜者</t>
  </si>
  <si>
    <t>V61</t>
  </si>
  <si>
    <t>მ61</t>
  </si>
  <si>
    <t>Ν61</t>
  </si>
  <si>
    <t>GY61</t>
  </si>
  <si>
    <t>준결승 경기1 승자</t>
  </si>
  <si>
    <t>L61</t>
  </si>
  <si>
    <t>П61</t>
  </si>
  <si>
    <t>R61</t>
  </si>
  <si>
    <t>برنده بازی 61</t>
  </si>
  <si>
    <t>C61</t>
  </si>
  <si>
    <t>P61</t>
  </si>
  <si>
    <t>ผู้ชนะนัดที่ 61</t>
  </si>
  <si>
    <t>T61</t>
  </si>
  <si>
    <t>Переможець 61</t>
  </si>
  <si>
    <t>۶۱ جیت</t>
  </si>
  <si>
    <t>W62</t>
  </si>
  <si>
    <t>F62</t>
  </si>
  <si>
    <t>Q62</t>
  </si>
  <si>
    <t>G62</t>
  </si>
  <si>
    <t>62胜者</t>
  </si>
  <si>
    <t>V62</t>
  </si>
  <si>
    <t>მ62</t>
  </si>
  <si>
    <t>Ν62</t>
  </si>
  <si>
    <t>GY62</t>
  </si>
  <si>
    <t>준결승 경기2 승자</t>
  </si>
  <si>
    <t>L62</t>
  </si>
  <si>
    <t>П62</t>
  </si>
  <si>
    <t>R62</t>
  </si>
  <si>
    <t>برنده بازی 62</t>
  </si>
  <si>
    <t>C62</t>
  </si>
  <si>
    <t>P62</t>
  </si>
  <si>
    <t>ผู้ชนะนัดที่ 62</t>
  </si>
  <si>
    <t>T62</t>
  </si>
  <si>
    <t>Переможець 62</t>
  </si>
  <si>
    <t>۶۲ جیت</t>
  </si>
  <si>
    <t>H61</t>
  </si>
  <si>
    <t>M61</t>
  </si>
  <si>
    <t>61负者</t>
  </si>
  <si>
    <t>წ61</t>
  </si>
  <si>
    <t>Η61</t>
  </si>
  <si>
    <t>준결승 경기1 패자</t>
  </si>
  <si>
    <t>И61</t>
  </si>
  <si>
    <t>بازنده بازی 61</t>
  </si>
  <si>
    <t>I61</t>
  </si>
  <si>
    <t>ผู้แพ้นัดที่ 61</t>
  </si>
  <si>
    <t>B61</t>
  </si>
  <si>
    <t>Переможений 61</t>
  </si>
  <si>
    <t>۶۱ ہار</t>
  </si>
  <si>
    <t>H62</t>
  </si>
  <si>
    <t>M62</t>
  </si>
  <si>
    <t>62负者</t>
  </si>
  <si>
    <t>წ62</t>
  </si>
  <si>
    <t>Η62</t>
  </si>
  <si>
    <t>준결승 경기2 패자</t>
  </si>
  <si>
    <t>И62</t>
  </si>
  <si>
    <t>بازنده بازی 62</t>
  </si>
  <si>
    <t>I62</t>
  </si>
  <si>
    <t>ผู้แพ้นัดที่ 62</t>
  </si>
  <si>
    <t>B62</t>
  </si>
  <si>
    <t>Переможений 62</t>
  </si>
  <si>
    <t>۶۲ ہار</t>
  </si>
  <si>
    <t>World Champion 2026</t>
  </si>
  <si>
    <t xml:space="preserve">Kampioni </t>
  </si>
  <si>
    <t>بطل العالم 2026</t>
  </si>
  <si>
    <t>Աշխարհի 2026թ. Հաղթող</t>
  </si>
  <si>
    <t>Dünya Çempionu 2026</t>
  </si>
  <si>
    <t>Световен шампион 2026</t>
  </si>
  <si>
    <t>Campió del Món 2026</t>
  </si>
  <si>
    <t>2026世界杯冠军</t>
  </si>
  <si>
    <t>Svjetski prvak 2026</t>
  </si>
  <si>
    <t>Mistr světa 2026</t>
  </si>
  <si>
    <t>Verdensmester 2026</t>
  </si>
  <si>
    <t>Wereldkampioen 2026</t>
  </si>
  <si>
    <t>Heimsmeistari 2026</t>
  </si>
  <si>
    <t>Champion du Monde 2026</t>
  </si>
  <si>
    <t>მსოფლიოს ჩემპიონი 2026</t>
  </si>
  <si>
    <t>Weltmeister 2026</t>
  </si>
  <si>
    <t>Πρωταθλητής 2026</t>
  </si>
  <si>
    <t>גביע העולם 2026</t>
  </si>
  <si>
    <t>A labdarúgó-VB győztes csapata:</t>
  </si>
  <si>
    <t>Juara Piala Dunia 2026</t>
  </si>
  <si>
    <t>Heimsmeistarar 2026</t>
  </si>
  <si>
    <t>Coppa del Mondo 2026</t>
  </si>
  <si>
    <t>2026년 우승국가</t>
  </si>
  <si>
    <t>Pasaulio Čempionas 2026</t>
  </si>
  <si>
    <t>Светски шампион 2026</t>
  </si>
  <si>
    <t>Rebbieħ tat-Tazza tad-Dinja 2026</t>
  </si>
  <si>
    <t>Vinner 2026</t>
  </si>
  <si>
    <t>قهرمان جام جهانی 2026</t>
  </si>
  <si>
    <t>Mistrz Świata 2026</t>
  </si>
  <si>
    <t>Vencedor do Campeonato do Mundo 2026</t>
  </si>
  <si>
    <t>Campioana Mondiala 2026</t>
  </si>
  <si>
    <t>Svjetski šampion 2026</t>
  </si>
  <si>
    <t>Majster sveta 2026</t>
  </si>
  <si>
    <t>Svetovno prvak 2026</t>
  </si>
  <si>
    <t>Campeón 2026</t>
  </si>
  <si>
    <t>Världsmästare 2026</t>
  </si>
  <si>
    <t>แชมป์โลกปี 2026</t>
  </si>
  <si>
    <t>2026 Dünya Şampiyonu</t>
  </si>
  <si>
    <t>Vòng Chung Kết 2026</t>
  </si>
  <si>
    <t>Чемпіон Світу 2026</t>
  </si>
  <si>
    <t>ورلڈ چیمپینس</t>
  </si>
  <si>
    <t>en</t>
  </si>
  <si>
    <t>sq</t>
  </si>
  <si>
    <t>ar</t>
  </si>
  <si>
    <t>hy</t>
  </si>
  <si>
    <t>az</t>
  </si>
  <si>
    <t>bg</t>
  </si>
  <si>
    <t>ca</t>
  </si>
  <si>
    <t>zh-CN</t>
  </si>
  <si>
    <t>zh-TW</t>
  </si>
  <si>
    <t>hr</t>
  </si>
  <si>
    <t>cs</t>
  </si>
  <si>
    <t>da</t>
  </si>
  <si>
    <t>nl</t>
  </si>
  <si>
    <t>fr</t>
  </si>
  <si>
    <t>ka</t>
  </si>
  <si>
    <t>de</t>
  </si>
  <si>
    <t>el</t>
  </si>
  <si>
    <t>iw</t>
  </si>
  <si>
    <t>hu</t>
  </si>
  <si>
    <t>id</t>
  </si>
  <si>
    <t>is</t>
  </si>
  <si>
    <t>it</t>
  </si>
  <si>
    <t>ko</t>
  </si>
  <si>
    <t>lt</t>
  </si>
  <si>
    <t>mk</t>
  </si>
  <si>
    <t>mt</t>
  </si>
  <si>
    <t>no</t>
  </si>
  <si>
    <t>fa</t>
  </si>
  <si>
    <t>pl</t>
  </si>
  <si>
    <t>pt</t>
  </si>
  <si>
    <t>ro</t>
  </si>
  <si>
    <t>sr</t>
  </si>
  <si>
    <t>sk</t>
  </si>
  <si>
    <t>sl</t>
  </si>
  <si>
    <t>es</t>
  </si>
  <si>
    <t>sv</t>
  </si>
  <si>
    <t>th</t>
  </si>
  <si>
    <t>tr</t>
  </si>
  <si>
    <t>vi</t>
  </si>
  <si>
    <t>uk</t>
  </si>
  <si>
    <t>ur</t>
  </si>
  <si>
    <t>Settings</t>
  </si>
  <si>
    <t>Group Round Sorting</t>
  </si>
  <si>
    <t>Language</t>
  </si>
  <si>
    <t>Step #1</t>
  </si>
  <si>
    <t>Points</t>
  </si>
  <si>
    <t>Summer Time</t>
  </si>
  <si>
    <t>No</t>
  </si>
  <si>
    <t>Step #2</t>
  </si>
  <si>
    <t>Concerned teams (Pnt, GF-GA, GF)</t>
  </si>
  <si>
    <t>Step #3</t>
  </si>
  <si>
    <t>Goal Difference</t>
  </si>
  <si>
    <t>GTM-Time</t>
  </si>
  <si>
    <t>GMT</t>
  </si>
  <si>
    <t>Step #4</t>
  </si>
  <si>
    <t>Goals Scored</t>
  </si>
  <si>
    <t>Step #5</t>
  </si>
  <si>
    <t>FIFA Rank</t>
  </si>
  <si>
    <t>Minutes</t>
  </si>
  <si>
    <t>+0 min</t>
  </si>
  <si>
    <t>Favorite Team</t>
  </si>
  <si>
    <t>Group Matches</t>
  </si>
  <si>
    <t>Language ID</t>
  </si>
  <si>
    <t>GMT Delta</t>
  </si>
  <si>
    <t>GMT - 11:00</t>
  </si>
  <si>
    <t>GMT - 10:00</t>
  </si>
  <si>
    <t>GMT - 9:00</t>
  </si>
  <si>
    <t>GMT - 8:00</t>
  </si>
  <si>
    <t>GMT - 7:00</t>
  </si>
  <si>
    <t>GMT - 6:00</t>
  </si>
  <si>
    <t>GMT - 5:00</t>
  </si>
  <si>
    <t>GMT - 4:00</t>
  </si>
  <si>
    <t>GMT - 3:00</t>
  </si>
  <si>
    <t>GMT - 2:00</t>
  </si>
  <si>
    <t>GMT - 1:00</t>
  </si>
  <si>
    <t>GMT + 1:00</t>
  </si>
  <si>
    <t>GMT + 2:00</t>
  </si>
  <si>
    <t>GMT + 3:00</t>
  </si>
  <si>
    <t>GMT + 4:00</t>
  </si>
  <si>
    <t>GMT + 5:00</t>
  </si>
  <si>
    <t>GMT + 6:00</t>
  </si>
  <si>
    <t>GMT + 7:00</t>
  </si>
  <si>
    <t>GMT + 8:00</t>
  </si>
  <si>
    <t>GMT + 9:00</t>
  </si>
  <si>
    <t>GMT + 10:00</t>
  </si>
  <si>
    <t>GMT + 11:00</t>
  </si>
  <si>
    <t>GMT + 12:00</t>
  </si>
  <si>
    <t>GMT + 13:00</t>
  </si>
  <si>
    <t>+15 min</t>
  </si>
  <si>
    <t>+30 min</t>
  </si>
  <si>
    <t>+45 min</t>
  </si>
  <si>
    <t>itype</t>
  </si>
  <si>
    <r>
      <t xml:space="preserve">Home Page: </t>
    </r>
    <r>
      <rPr>
        <u/>
        <sz val="14"/>
        <color theme="4"/>
        <rFont val="Calibri"/>
        <family val="2"/>
        <charset val="204"/>
        <scheme val="minor"/>
      </rPr>
      <t>www.excely.com</t>
    </r>
  </si>
  <si>
    <t>Date + Time + GMT</t>
  </si>
  <si>
    <t>GF</t>
  </si>
  <si>
    <t>GA</t>
  </si>
  <si>
    <t>Place</t>
  </si>
  <si>
    <t>F-A</t>
  </si>
  <si>
    <t>F-A (norm)</t>
  </si>
  <si>
    <t>Pnt</t>
  </si>
  <si>
    <t>R1</t>
  </si>
  <si>
    <t>R2</t>
  </si>
  <si>
    <t>FIFA</t>
  </si>
  <si>
    <t>Rank</t>
  </si>
  <si>
    <t>R (norm)</t>
  </si>
  <si>
    <t>Round of 32</t>
  </si>
  <si>
    <t>3A</t>
  </si>
  <si>
    <t>3B</t>
  </si>
  <si>
    <t>3C</t>
  </si>
  <si>
    <r>
      <t xml:space="preserve">World Cup 2026
Interactive Schedule Online
</t>
    </r>
    <r>
      <rPr>
        <u/>
        <sz val="16"/>
        <color theme="4"/>
        <rFont val="Calibri"/>
        <family val="2"/>
        <charset val="204"/>
        <scheme val="minor"/>
      </rPr>
      <t>www.wallchart.io</t>
    </r>
  </si>
  <si>
    <t>3D</t>
  </si>
  <si>
    <t>3E</t>
  </si>
  <si>
    <t>3F</t>
  </si>
  <si>
    <t>3G</t>
  </si>
  <si>
    <t>3H</t>
  </si>
  <si>
    <t>3I</t>
  </si>
  <si>
    <t>3J</t>
  </si>
  <si>
    <t>3K</t>
  </si>
  <si>
    <t>3L</t>
  </si>
  <si>
    <t>Best 3rds</t>
  </si>
  <si>
    <t>No.</t>
  </si>
  <si>
    <t>1A vs</t>
  </si>
  <si>
    <t>1B vs</t>
  </si>
  <si>
    <t>1D vs</t>
  </si>
  <si>
    <t>1E vs</t>
  </si>
  <si>
    <t>1G vs</t>
  </si>
  <si>
    <t>1I vs</t>
  </si>
  <si>
    <t>1K vs</t>
  </si>
  <si>
    <t>1L vs</t>
  </si>
  <si>
    <t>EFGHIJKL</t>
  </si>
  <si>
    <t>DFGHIJKL</t>
  </si>
  <si>
    <t>DEGHIJKL</t>
  </si>
  <si>
    <t>DEFHIJKL</t>
  </si>
  <si>
    <t>DEFGIJKL</t>
  </si>
  <si>
    <t>DEFGHJKL</t>
  </si>
  <si>
    <t>DEFGHIKL</t>
  </si>
  <si>
    <t>DEFGHIJL</t>
  </si>
  <si>
    <t>DEFGHIJK</t>
  </si>
  <si>
    <t>CFGHIJKL</t>
  </si>
  <si>
    <t>CEGHIJKL</t>
  </si>
  <si>
    <t>CEFHIJKL</t>
  </si>
  <si>
    <t>CEFGIJKL</t>
  </si>
  <si>
    <t>CEFGHJKL</t>
  </si>
  <si>
    <t>CEFGHIKL</t>
  </si>
  <si>
    <t>CEFGHIJL</t>
  </si>
  <si>
    <t>CEFGHIJK</t>
  </si>
  <si>
    <t>CDGHIJKL</t>
  </si>
  <si>
    <t>CDFHIJKL</t>
  </si>
  <si>
    <t>CDFGIJKL</t>
  </si>
  <si>
    <t>CDFGHJKL</t>
  </si>
  <si>
    <t>CDFGHIKL</t>
  </si>
  <si>
    <t>CDFGHIJL</t>
  </si>
  <si>
    <t>CDFGHIJK</t>
  </si>
  <si>
    <t>CDEHIJKL</t>
  </si>
  <si>
    <t>CDEGIJKL</t>
  </si>
  <si>
    <t>CDEGHJKL</t>
  </si>
  <si>
    <t>CDEGHIKL</t>
  </si>
  <si>
    <t>CDEGHIJL</t>
  </si>
  <si>
    <t>CDEGHIJK</t>
  </si>
  <si>
    <t>CDEFIJKL</t>
  </si>
  <si>
    <t>CDEFHJKL</t>
  </si>
  <si>
    <t>CDEFHIKL</t>
  </si>
  <si>
    <t>CDEFHIJL</t>
  </si>
  <si>
    <t>CDEFHIJK</t>
  </si>
  <si>
    <t>CDEFGJKL</t>
  </si>
  <si>
    <t>CDEFGIKL</t>
  </si>
  <si>
    <t>CDEFGIJL</t>
  </si>
  <si>
    <t>CDEFGIJK</t>
  </si>
  <si>
    <t>CDEFGHKL</t>
  </si>
  <si>
    <t>CDEFGHJL</t>
  </si>
  <si>
    <t>CDEFGHJK</t>
  </si>
  <si>
    <t>CDEFGHIL</t>
  </si>
  <si>
    <t>CDEFGHIK</t>
  </si>
  <si>
    <t>CDEFGHIJ</t>
  </si>
  <si>
    <t>BFGHIJKL</t>
  </si>
  <si>
    <t>BEGHIJKL</t>
  </si>
  <si>
    <t>BEFHIJKL</t>
  </si>
  <si>
    <t>BEFGIJKL</t>
  </si>
  <si>
    <t>BEFGHJKL</t>
  </si>
  <si>
    <t>BEFGHIKL</t>
  </si>
  <si>
    <t>BEFGHIJL</t>
  </si>
  <si>
    <t>BEFGHIJK</t>
  </si>
  <si>
    <t>BDGHIJKL</t>
  </si>
  <si>
    <t>BDFHIJKL</t>
  </si>
  <si>
    <t>BDFGIJKL</t>
  </si>
  <si>
    <t>BDFGHJKL</t>
  </si>
  <si>
    <t>BDFGHIKL</t>
  </si>
  <si>
    <t>BDFGHIJL</t>
  </si>
  <si>
    <t>BDFGHIJK</t>
  </si>
  <si>
    <t>BDEHIJKL</t>
  </si>
  <si>
    <t>BDEGIJKL</t>
  </si>
  <si>
    <t>BDEGHJKL</t>
  </si>
  <si>
    <t>BDEGHIKL</t>
  </si>
  <si>
    <t>BDEGHIJL</t>
  </si>
  <si>
    <t>BDEGHIJK</t>
  </si>
  <si>
    <t>BDEFIJKL</t>
  </si>
  <si>
    <t>BDEFHJKL</t>
  </si>
  <si>
    <t>BDEFHIKL</t>
  </si>
  <si>
    <t>BDEFHIJL</t>
  </si>
  <si>
    <t>BDEFHIJK</t>
  </si>
  <si>
    <t>BDEFGJKL</t>
  </si>
  <si>
    <t>BDEFGIKL</t>
  </si>
  <si>
    <t>BDEFGIJL</t>
  </si>
  <si>
    <t>BDEFGIJK</t>
  </si>
  <si>
    <t>BDEFGHKL</t>
  </si>
  <si>
    <t>BDEFGHJL</t>
  </si>
  <si>
    <t>BDEFGHJK</t>
  </si>
  <si>
    <t>BDEFGHIL</t>
  </si>
  <si>
    <t>BDEFGHIK</t>
  </si>
  <si>
    <t>BDEFGHIJ</t>
  </si>
  <si>
    <t>BCGHIJKL</t>
  </si>
  <si>
    <t>BCFHIJKL</t>
  </si>
  <si>
    <t>BCFGIJKL</t>
  </si>
  <si>
    <t>BCFGHJKL</t>
  </si>
  <si>
    <t>BCFGHIKL</t>
  </si>
  <si>
    <t>BCFGHIJL</t>
  </si>
  <si>
    <t>BCFGHIJK</t>
  </si>
  <si>
    <t>BCEHIJKL</t>
  </si>
  <si>
    <t>BCEGIJKL</t>
  </si>
  <si>
    <t>BCEGHJKL</t>
  </si>
  <si>
    <t>BCEGHIKL</t>
  </si>
  <si>
    <t>BCEGHIJL</t>
  </si>
  <si>
    <t>BCEGHIJK</t>
  </si>
  <si>
    <t>BCEFIJKL</t>
  </si>
  <si>
    <t>BCEFHJKL</t>
  </si>
  <si>
    <t>BCEFHIKL</t>
  </si>
  <si>
    <t>BCEFHIJL</t>
  </si>
  <si>
    <t>BCEFHIJK</t>
  </si>
  <si>
    <t>BCEFGJKL</t>
  </si>
  <si>
    <t>BCEFGIKL</t>
  </si>
  <si>
    <t>BCEFGIJL</t>
  </si>
  <si>
    <t>BCEFGIJK</t>
  </si>
  <si>
    <t>BCEFGHKL</t>
  </si>
  <si>
    <t>BCEFGHJL</t>
  </si>
  <si>
    <t>BCEFGHJK</t>
  </si>
  <si>
    <t>BCEFGHIL</t>
  </si>
  <si>
    <t>BCEFGHIK</t>
  </si>
  <si>
    <t>BCEFGHIJ</t>
  </si>
  <si>
    <t>BCDHIJKL</t>
  </si>
  <si>
    <t>BCDGIJKL</t>
  </si>
  <si>
    <t>BCDGHJKL</t>
  </si>
  <si>
    <t>BCDGHIKL</t>
  </si>
  <si>
    <t>BCDGHIJL</t>
  </si>
  <si>
    <t>BCDGHIJK</t>
  </si>
  <si>
    <t>BCDFIJKL</t>
  </si>
  <si>
    <t>BCDFHJKL</t>
  </si>
  <si>
    <t>BCDFHIKL</t>
  </si>
  <si>
    <t>BCDFHIJL</t>
  </si>
  <si>
    <t>BCDFHIJK</t>
  </si>
  <si>
    <t>BCDFGJKL</t>
  </si>
  <si>
    <t>BCDFGIKL</t>
  </si>
  <si>
    <t>BCDFGIJL</t>
  </si>
  <si>
    <t>BCDFGIJK</t>
  </si>
  <si>
    <t>BCDFGHKL</t>
  </si>
  <si>
    <t>BCDFGHJL</t>
  </si>
  <si>
    <t>BCDFGHJK</t>
  </si>
  <si>
    <t>BCDFGHIL</t>
  </si>
  <si>
    <t>BCDFGHIK</t>
  </si>
  <si>
    <t>BCDFGHIJ</t>
  </si>
  <si>
    <t>BCDEIJKL</t>
  </si>
  <si>
    <t>BCDEHJKL</t>
  </si>
  <si>
    <t>BCDEHIKL</t>
  </si>
  <si>
    <t>BCDEHIJL</t>
  </si>
  <si>
    <t>BCDEHIJK</t>
  </si>
  <si>
    <t>BCDEGJKL</t>
  </si>
  <si>
    <t>BCDEGIKL</t>
  </si>
  <si>
    <t>BCDEGIJL</t>
  </si>
  <si>
    <t>BCDEGIJK</t>
  </si>
  <si>
    <t>BCDEGHKL</t>
  </si>
  <si>
    <t>BCDEGHJL</t>
  </si>
  <si>
    <t>BCDEGHJK</t>
  </si>
  <si>
    <t>BCDEGHIL</t>
  </si>
  <si>
    <t>BCDEGHIK</t>
  </si>
  <si>
    <t>BCDEGHIJ</t>
  </si>
  <si>
    <t>BCDEFJKL</t>
  </si>
  <si>
    <t>BCDEFIKL</t>
  </si>
  <si>
    <t>BCDEFIJL</t>
  </si>
  <si>
    <t>BCDEFIJK</t>
  </si>
  <si>
    <t>BCDEFHKL</t>
  </si>
  <si>
    <t>BCDEFHJL</t>
  </si>
  <si>
    <t>BCDEFHJK</t>
  </si>
  <si>
    <t>BCDEFHIL</t>
  </si>
  <si>
    <t>BCDEFHIK</t>
  </si>
  <si>
    <t>BCDEFHIJ</t>
  </si>
  <si>
    <t>BCDEFGKL</t>
  </si>
  <si>
    <t>BCDEFGJL</t>
  </si>
  <si>
    <t>BCDEFGJK</t>
  </si>
  <si>
    <t>BCDEFGIL</t>
  </si>
  <si>
    <t>BCDEFGIK</t>
  </si>
  <si>
    <t>BCDEFGIJ</t>
  </si>
  <si>
    <t>BCDEFGHL</t>
  </si>
  <si>
    <t>BCDEFGHK</t>
  </si>
  <si>
    <t>BCDEFGHJ</t>
  </si>
  <si>
    <t>BCDEFGHI</t>
  </si>
  <si>
    <t>AFGHIJKL</t>
  </si>
  <si>
    <t>AEGHIJKL</t>
  </si>
  <si>
    <t>AEFHIJKL</t>
  </si>
  <si>
    <t>AEFGIJKL</t>
  </si>
  <si>
    <t>AEFGHJKL</t>
  </si>
  <si>
    <t>AEFGHIKL</t>
  </si>
  <si>
    <t>AEFGHIJL</t>
  </si>
  <si>
    <t>AEFGHIJK</t>
  </si>
  <si>
    <t>ADGHIJKL</t>
  </si>
  <si>
    <t>ADFHIJKL</t>
  </si>
  <si>
    <t>ADFGIJKL</t>
  </si>
  <si>
    <t>ADFGHJKL</t>
  </si>
  <si>
    <t>ADFGHIKL</t>
  </si>
  <si>
    <t>ADFGHIJL</t>
  </si>
  <si>
    <t>ADFGHIJK</t>
  </si>
  <si>
    <t>ADEHIJKL</t>
  </si>
  <si>
    <t>ADEGIJKL</t>
  </si>
  <si>
    <t>ADEGHJKL</t>
  </si>
  <si>
    <t>ADEGHIKL</t>
  </si>
  <si>
    <t>ADEGHIJL</t>
  </si>
  <si>
    <t>ADEGHIJK</t>
  </si>
  <si>
    <t>ADEFIJKL</t>
  </si>
  <si>
    <t>ADEFHJKL</t>
  </si>
  <si>
    <t>ADEFHIKL</t>
  </si>
  <si>
    <t>ADEFHIJL</t>
  </si>
  <si>
    <t>ADEFHIJK</t>
  </si>
  <si>
    <t>ADEFGJKL</t>
  </si>
  <si>
    <t>ADEFGIKL</t>
  </si>
  <si>
    <t>ADEFGIJL</t>
  </si>
  <si>
    <t>ADEFGIJK</t>
  </si>
  <si>
    <t>ADEFGHKL</t>
  </si>
  <si>
    <t>ADEFGHJL</t>
  </si>
  <si>
    <t>ADEFGHJK</t>
  </si>
  <si>
    <t>ADEFGHIL</t>
  </si>
  <si>
    <t>ADEFGHIK</t>
  </si>
  <si>
    <t>ADEFGHIJ</t>
  </si>
  <si>
    <t>ACGHIJKL</t>
  </si>
  <si>
    <t>ACFHIJKL</t>
  </si>
  <si>
    <t>ACFGIJKL</t>
  </si>
  <si>
    <t>ACFGHJKL</t>
  </si>
  <si>
    <t>ACFGHIKL</t>
  </si>
  <si>
    <t>ACFGHIJL</t>
  </si>
  <si>
    <t>ACFGHIJK</t>
  </si>
  <si>
    <t>ACEHIJKL</t>
  </si>
  <si>
    <t>ACEGIJKL</t>
  </si>
  <si>
    <t>ACEGHJKL</t>
  </si>
  <si>
    <t>ACEGHIKL</t>
  </si>
  <si>
    <t>ACEGHIJL</t>
  </si>
  <si>
    <t>ACEGHIJK</t>
  </si>
  <si>
    <t>ACEFIJKL</t>
  </si>
  <si>
    <t>ACEFHJKL</t>
  </si>
  <si>
    <t>ACEFHIKL</t>
  </si>
  <si>
    <t>ACEFHIJL</t>
  </si>
  <si>
    <t>ACEFHIJK</t>
  </si>
  <si>
    <t>ACEFGJKL</t>
  </si>
  <si>
    <t>ACEFGIKL</t>
  </si>
  <si>
    <t>ACEFGIJL</t>
  </si>
  <si>
    <t>ACEFGIJK</t>
  </si>
  <si>
    <t>ACEFGHKL</t>
  </si>
  <si>
    <t>ACEFGHJL</t>
  </si>
  <si>
    <t>ACEFGHJK</t>
  </si>
  <si>
    <t>ACEFGHIL</t>
  </si>
  <si>
    <t>ACEFGHIK</t>
  </si>
  <si>
    <t>ACEFGHIJ</t>
  </si>
  <si>
    <t>ACDHIJKL</t>
  </si>
  <si>
    <t>ACDGIJKL</t>
  </si>
  <si>
    <t>ACDGHJKL</t>
  </si>
  <si>
    <t>ACDGHIKL</t>
  </si>
  <si>
    <t>ACDGHIJL</t>
  </si>
  <si>
    <t>ACDGHIJK</t>
  </si>
  <si>
    <t>ACDFIJKL</t>
  </si>
  <si>
    <t>ACDFHJKL</t>
  </si>
  <si>
    <t>ACDFHIKL</t>
  </si>
  <si>
    <t>ACDFHIJL</t>
  </si>
  <si>
    <t>ACDFHIJK</t>
  </si>
  <si>
    <t>ACDFGJKL</t>
  </si>
  <si>
    <t>ACDFGIKL</t>
  </si>
  <si>
    <t>ACDFGIJL</t>
  </si>
  <si>
    <t>ACDFGIJK</t>
  </si>
  <si>
    <t>ACDFGHKL</t>
  </si>
  <si>
    <t>ACDFGHJL</t>
  </si>
  <si>
    <t>ACDFGHJK</t>
  </si>
  <si>
    <t>ACDFGHIL</t>
  </si>
  <si>
    <t>ACDFGHIK</t>
  </si>
  <si>
    <t>ACDFGHIJ</t>
  </si>
  <si>
    <t>ACDEIJKL</t>
  </si>
  <si>
    <t>ACDEHJKL</t>
  </si>
  <si>
    <t>ACDEHIKL</t>
  </si>
  <si>
    <t>ACDEHIJL</t>
  </si>
  <si>
    <t>ACDEHIJK</t>
  </si>
  <si>
    <t>ACDEGJKL</t>
  </si>
  <si>
    <t>ACDEGIKL</t>
  </si>
  <si>
    <t>ACDEGIJL</t>
  </si>
  <si>
    <t>ACDEGIJK</t>
  </si>
  <si>
    <t>ACDEGHKL</t>
  </si>
  <si>
    <t>ACDEGHJL</t>
  </si>
  <si>
    <t>ACDEGHJK</t>
  </si>
  <si>
    <t>ACDEGHIL</t>
  </si>
  <si>
    <t>ACDEGHIK</t>
  </si>
  <si>
    <t>ACDEGHIJ</t>
  </si>
  <si>
    <t>ACDEFJKL</t>
  </si>
  <si>
    <t>ACDEFIKL</t>
  </si>
  <si>
    <t>ACDEFIJL</t>
  </si>
  <si>
    <t>ACDEFIJK</t>
  </si>
  <si>
    <t>ACDEFHKL</t>
  </si>
  <si>
    <t>ACDEFHJL</t>
  </si>
  <si>
    <t>ACDEFHJK</t>
  </si>
  <si>
    <t>ACDEFHIL</t>
  </si>
  <si>
    <t>ACDEFHIK</t>
  </si>
  <si>
    <t>ACDEFHIJ</t>
  </si>
  <si>
    <t>ACDEFGKL</t>
  </si>
  <si>
    <t>ACDEFGJL</t>
  </si>
  <si>
    <t>ACDEFGJK</t>
  </si>
  <si>
    <t>ACDEFGIL</t>
  </si>
  <si>
    <t>ACDEFGIK</t>
  </si>
  <si>
    <t>ACDEFGIJ</t>
  </si>
  <si>
    <t>ACDEFGHL</t>
  </si>
  <si>
    <t>ACDEFGHK</t>
  </si>
  <si>
    <t>ACDEFGHJ</t>
  </si>
  <si>
    <t>ACDEFGHI</t>
  </si>
  <si>
    <t>ABGHIJKL</t>
  </si>
  <si>
    <t>ABFHIJKL</t>
  </si>
  <si>
    <t>ABFGIJKL</t>
  </si>
  <si>
    <t>ABFGHJKL</t>
  </si>
  <si>
    <t>ABFGHIKL</t>
  </si>
  <si>
    <t>ABFGHIJL</t>
  </si>
  <si>
    <t>ABFGHIJK</t>
  </si>
  <si>
    <t>ABEHIJKL</t>
  </si>
  <si>
    <t>ABEGIJKL</t>
  </si>
  <si>
    <t>ABEGHJKL</t>
  </si>
  <si>
    <t>ABEGHIKL</t>
  </si>
  <si>
    <t>ABEGHIJL</t>
  </si>
  <si>
    <t>ABEGHIJK</t>
  </si>
  <si>
    <t>ABEFIJKL</t>
  </si>
  <si>
    <t>ABEFHJKL</t>
  </si>
  <si>
    <t>ABEFHIKL</t>
  </si>
  <si>
    <t>ABEFHIJL</t>
  </si>
  <si>
    <t>ABEFHIJK</t>
  </si>
  <si>
    <t>ABEFGJKL</t>
  </si>
  <si>
    <t>ABEFGIKL</t>
  </si>
  <si>
    <t>ABEFGIJL</t>
  </si>
  <si>
    <t>ABEFGIJK</t>
  </si>
  <si>
    <t>ABEFGHKL</t>
  </si>
  <si>
    <t>ABEFGHJL</t>
  </si>
  <si>
    <t>ABEFGHJK</t>
  </si>
  <si>
    <t>ABEFGHIL</t>
  </si>
  <si>
    <t>ABEFGHIK</t>
  </si>
  <si>
    <t>ABEFGHIJ</t>
  </si>
  <si>
    <t>ABDHIJKL</t>
  </si>
  <si>
    <t>ABDGIJKL</t>
  </si>
  <si>
    <t>ABDGHJKL</t>
  </si>
  <si>
    <t>ABDGHIKL</t>
  </si>
  <si>
    <t>ABDGHIJL</t>
  </si>
  <si>
    <t>ABDGHIJK</t>
  </si>
  <si>
    <t>ABDFIJKL</t>
  </si>
  <si>
    <t>ABDFHJKL</t>
  </si>
  <si>
    <t>ABDFHIKL</t>
  </si>
  <si>
    <t>ABDFHIJL</t>
  </si>
  <si>
    <t>ABDFHIJK</t>
  </si>
  <si>
    <t>ABDFGJKL</t>
  </si>
  <si>
    <t>ABDFGIKL</t>
  </si>
  <si>
    <t>ABDFGIJL</t>
  </si>
  <si>
    <t>ABDFGIJK</t>
  </si>
  <si>
    <t>ABDFGHKL</t>
  </si>
  <si>
    <t>ABDFGHJL</t>
  </si>
  <si>
    <t>ABDFGHJK</t>
  </si>
  <si>
    <t>ABDFGHIL</t>
  </si>
  <si>
    <t>ABDFGHIK</t>
  </si>
  <si>
    <t>ABDFGHIJ</t>
  </si>
  <si>
    <t>ABDEIJKL</t>
  </si>
  <si>
    <t>ABDEHJKL</t>
  </si>
  <si>
    <t>ABDEHIKL</t>
  </si>
  <si>
    <t>ABDEHIJL</t>
  </si>
  <si>
    <t>ABDEHIJK</t>
  </si>
  <si>
    <t>ABDEGJKL</t>
  </si>
  <si>
    <t>ABDEGIKL</t>
  </si>
  <si>
    <t>ABDEGIJL</t>
  </si>
  <si>
    <t>ABDEGIJK</t>
  </si>
  <si>
    <t>ABDEGHKL</t>
  </si>
  <si>
    <t>ABDEGHJL</t>
  </si>
  <si>
    <t>ABDEGHJK</t>
  </si>
  <si>
    <t>ABDEGHIL</t>
  </si>
  <si>
    <t>ABDEGHIK</t>
  </si>
  <si>
    <t>ABDEGHIJ</t>
  </si>
  <si>
    <t>ABDEFJKL</t>
  </si>
  <si>
    <t>ABDEFIKL</t>
  </si>
  <si>
    <t>ABDEFIJL</t>
  </si>
  <si>
    <t>ABDEFIJK</t>
  </si>
  <si>
    <t>ABDEFHKL</t>
  </si>
  <si>
    <t>ABDEFHJL</t>
  </si>
  <si>
    <t>ABDEFHJK</t>
  </si>
  <si>
    <t>ABDEFHIL</t>
  </si>
  <si>
    <t>ABDEFHIK</t>
  </si>
  <si>
    <t>ABDEFHIJ</t>
  </si>
  <si>
    <t>ABDEFGKL</t>
  </si>
  <si>
    <t>ABDEFGJL</t>
  </si>
  <si>
    <t>ABDEFGJK</t>
  </si>
  <si>
    <t>ABDEFGIL</t>
  </si>
  <si>
    <t>ABDEFGIK</t>
  </si>
  <si>
    <t>ABDEFGIJ</t>
  </si>
  <si>
    <t>ABDEFGHL</t>
  </si>
  <si>
    <t>ABDEFGHK</t>
  </si>
  <si>
    <t>ABDEFGHJ</t>
  </si>
  <si>
    <t>ABDEFGHI</t>
  </si>
  <si>
    <t>ABCHIJKL</t>
  </si>
  <si>
    <t>ABCGIJKL</t>
  </si>
  <si>
    <t>ABCGHJKL</t>
  </si>
  <si>
    <t>ABCGHIKL</t>
  </si>
  <si>
    <t>ABCGHIJL</t>
  </si>
  <si>
    <t>ABCGHIJK</t>
  </si>
  <si>
    <t>ABCFIJKL</t>
  </si>
  <si>
    <t>ABCFHJKL</t>
  </si>
  <si>
    <t>ABCFHIKL</t>
  </si>
  <si>
    <t>ABCFHIJL</t>
  </si>
  <si>
    <t>ABCFHIJK</t>
  </si>
  <si>
    <t>ABCFGJKL</t>
  </si>
  <si>
    <t>ABCFGIKL</t>
  </si>
  <si>
    <t>ABCFGIJL</t>
  </si>
  <si>
    <t>ABCFGIJK</t>
  </si>
  <si>
    <t>ABCFGHKL</t>
  </si>
  <si>
    <t>ABCFGHJL</t>
  </si>
  <si>
    <t>ABCFGHJK</t>
  </si>
  <si>
    <t>ABCFGHIL</t>
  </si>
  <si>
    <t>ABCFGHIK</t>
  </si>
  <si>
    <t>ABCFGHIJ</t>
  </si>
  <si>
    <t>ABCEIJKL</t>
  </si>
  <si>
    <t>ABCEHJKL</t>
  </si>
  <si>
    <t>ABCEHIKL</t>
  </si>
  <si>
    <t>ABCEHIJL</t>
  </si>
  <si>
    <t>ABCEHIJK</t>
  </si>
  <si>
    <t>ABCEGJKL</t>
  </si>
  <si>
    <t>ABCEGIKL</t>
  </si>
  <si>
    <t>ABCEGIJL</t>
  </si>
  <si>
    <t>ABCEGIJK</t>
  </si>
  <si>
    <t>ABCEGHKL</t>
  </si>
  <si>
    <t>ABCEGHJL</t>
  </si>
  <si>
    <t>ABCEGHJK</t>
  </si>
  <si>
    <t>ABCEGHIL</t>
  </si>
  <si>
    <t>ABCEGHIK</t>
  </si>
  <si>
    <t>ABCEGHIJ</t>
  </si>
  <si>
    <t>ABCEFJKL</t>
  </si>
  <si>
    <t>ABCEFIKL</t>
  </si>
  <si>
    <t>ABCEFIJL</t>
  </si>
  <si>
    <t>ABCEFIJK</t>
  </si>
  <si>
    <t>ABCEFHKL</t>
  </si>
  <si>
    <t>ABCEFHJL</t>
  </si>
  <si>
    <t>ABCEFHJK</t>
  </si>
  <si>
    <t>ABCEFHIL</t>
  </si>
  <si>
    <t>ABCEFHIK</t>
  </si>
  <si>
    <t>ABCEFHIJ</t>
  </si>
  <si>
    <t>ABCEFGKL</t>
  </si>
  <si>
    <t>ABCEFGJL</t>
  </si>
  <si>
    <t>ABCEFGJK</t>
  </si>
  <si>
    <t>ABCEFGIL</t>
  </si>
  <si>
    <t>ABCEFGIK</t>
  </si>
  <si>
    <t>ABCEFGIJ</t>
  </si>
  <si>
    <t>ABCEFGHL</t>
  </si>
  <si>
    <t>ABCEFGHK</t>
  </si>
  <si>
    <t>ABCEFGHJ</t>
  </si>
  <si>
    <t>ABCEFGHI</t>
  </si>
  <si>
    <t>ABCDIJKL</t>
  </si>
  <si>
    <t>ABCDHJKL</t>
  </si>
  <si>
    <t>ABCDHIKL</t>
  </si>
  <si>
    <t>ABCDHIJL</t>
  </si>
  <si>
    <t>ABCDHIJK</t>
  </si>
  <si>
    <t>ABCDGJKL</t>
  </si>
  <si>
    <t>ABCDGIKL</t>
  </si>
  <si>
    <t>ABCDGIJL</t>
  </si>
  <si>
    <t>ABCDGIJK</t>
  </si>
  <si>
    <t>ABCDGHKL</t>
  </si>
  <si>
    <t>ABCDGHJL</t>
  </si>
  <si>
    <t>ABCDGHJK</t>
  </si>
  <si>
    <t>ABCDGHIL</t>
  </si>
  <si>
    <t>ABCDGHIK</t>
  </si>
  <si>
    <t>ABCDGHIJ</t>
  </si>
  <si>
    <t>ABCDFJKL</t>
  </si>
  <si>
    <t>ABCDFIKL</t>
  </si>
  <si>
    <t>ABCDFIJL</t>
  </si>
  <si>
    <t>ABCDFIJK</t>
  </si>
  <si>
    <t>ABCDFHKL</t>
  </si>
  <si>
    <t>ABCDFHJL</t>
  </si>
  <si>
    <t>ABCDFHJK</t>
  </si>
  <si>
    <t>ABCDFHIL</t>
  </si>
  <si>
    <t>ABCDFHIK</t>
  </si>
  <si>
    <t>ABCDFHIJ</t>
  </si>
  <si>
    <t>ABCDFGKL</t>
  </si>
  <si>
    <t>ABCDFGJL</t>
  </si>
  <si>
    <t>ABCDFGJK</t>
  </si>
  <si>
    <t>ABCDFGIL</t>
  </si>
  <si>
    <t>ABCDFGIK</t>
  </si>
  <si>
    <t>ABCDFGIJ</t>
  </si>
  <si>
    <t>ABCDFGHL</t>
  </si>
  <si>
    <t>ABCDFGHK</t>
  </si>
  <si>
    <t>ABCDFGHJ</t>
  </si>
  <si>
    <t>ABCDFGHI</t>
  </si>
  <si>
    <t>ABCDEJKL</t>
  </si>
  <si>
    <t>ABCDEIKL</t>
  </si>
  <si>
    <t>ABCDEIJL</t>
  </si>
  <si>
    <t>ABCDEIJK</t>
  </si>
  <si>
    <t>ABCDEHKL</t>
  </si>
  <si>
    <t>ABCDEHJL</t>
  </si>
  <si>
    <t>ABCDEHJK</t>
  </si>
  <si>
    <t>ABCDEHIL</t>
  </si>
  <si>
    <t>ABCDEHIK</t>
  </si>
  <si>
    <t>ABCDEHIJ</t>
  </si>
  <si>
    <t>ABCDEGKL</t>
  </si>
  <si>
    <t>ABCDEGJL</t>
  </si>
  <si>
    <t>ABCDEGJK</t>
  </si>
  <si>
    <t>ABCDEGIL</t>
  </si>
  <si>
    <t>ABCDEGIK</t>
  </si>
  <si>
    <t>ABCDEGIJ</t>
  </si>
  <si>
    <t>ABCDEGHL</t>
  </si>
  <si>
    <t>ABCDEGHK</t>
  </si>
  <si>
    <t>ABCDEGHJ</t>
  </si>
  <si>
    <t>ABCDEGHI</t>
  </si>
  <si>
    <t>ABCDEFKL</t>
  </si>
  <si>
    <t>ABCDEFJL</t>
  </si>
  <si>
    <t>ABCDEFJK</t>
  </si>
  <si>
    <t>ABCDEFIL</t>
  </si>
  <si>
    <t>ABCDEFIK</t>
  </si>
  <si>
    <t>ABCDEFIJ</t>
  </si>
  <si>
    <t>ABCDEFHL</t>
  </si>
  <si>
    <t>ABCDEFHK</t>
  </si>
  <si>
    <t>ABCDEFHJ</t>
  </si>
  <si>
    <t>ABCDEFHI</t>
  </si>
  <si>
    <t>ABCDEFGL</t>
  </si>
  <si>
    <t>ABCDEFGK</t>
  </si>
  <si>
    <t>ABCDEFGJ</t>
  </si>
  <si>
    <t>ABCDEFGI</t>
  </si>
  <si>
    <t>ABCDEFGH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</si>
</sst>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;;;"/>
  </numFmts>
  <fonts count="2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36"/>
      <name val="Calibri"/>
      <family val="2"/>
      <charset val="204"/>
    </font>
    <font>
      <sz val="10"/>
      <color indexed="12"/>
      <name val="Calibri"/>
      <family val="2"/>
      <charset val="204"/>
    </font>
    <font>
      <sz val="14"/>
      <name val="Calibri"/>
      <family val="2"/>
      <charset val="204"/>
      <scheme val="minor"/>
    </font>
    <font>
      <u/>
      <sz val="8"/>
      <color indexed="12"/>
      <name val="Calibri"/>
      <family val="2"/>
      <charset val="204"/>
    </font>
    <font>
      <sz val="16"/>
      <color theme="0"/>
      <name val="Calibri"/>
      <family val="2"/>
      <charset val="204"/>
      <scheme val="minor"/>
    </font>
    <font>
      <b/>
      <sz val="10"/>
      <color theme="0"/>
      <name val="Calibri"/>
      <family val="2"/>
      <charset val="204"/>
    </font>
    <font>
      <sz val="16"/>
      <color theme="0"/>
      <name val="Calibri"/>
      <family val="2"/>
      <charset val="204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charset val="204"/>
    </font>
    <font>
      <sz val="8"/>
      <name val="Calibri"/>
      <family val="2"/>
      <charset val="204"/>
    </font>
    <font>
      <u/>
      <sz val="16"/>
      <color theme="4"/>
      <name val="Calibri"/>
      <family val="2"/>
      <charset val="204"/>
      <scheme val="minor"/>
    </font>
    <font>
      <sz val="10"/>
      <color rgb="FFFF0000"/>
      <name val="Calibri"/>
      <family val="2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charset val="204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4"/>
      <color theme="4"/>
      <name val="Calibri"/>
      <family val="2"/>
      <charset val="204"/>
      <scheme val="minor"/>
    </font>
    <font>
      <b/>
      <sz val="16"/>
      <name val="Calibri"/>
      <family val="2"/>
      <charset val="204"/>
    </font>
    <font>
      <b/>
      <sz val="16"/>
      <color rgb="FF0000FF"/>
      <name val="Calibri"/>
      <family val="2"/>
      <charset val="204"/>
    </font>
    <font>
      <sz val="10"/>
      <color theme="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97">
    <border>
      <left/>
      <right/>
      <top/>
      <bottom/>
      <diagonal/>
    </border>
    <border>
      <left style="thin">
        <color theme="3" tint="0.39991454817346722"/>
      </left>
      <right/>
      <top style="thin">
        <color theme="3" tint="0.39991454817346722"/>
      </top>
      <bottom/>
      <diagonal/>
    </border>
    <border>
      <left/>
      <right/>
      <top style="thin">
        <color theme="3" tint="0.39991454817346722"/>
      </top>
      <bottom/>
      <diagonal/>
    </border>
    <border>
      <left/>
      <right style="thin">
        <color theme="3" tint="0.39991454817346722"/>
      </right>
      <top style="thin">
        <color theme="3" tint="0.39991454817346722"/>
      </top>
      <bottom/>
      <diagonal/>
    </border>
    <border>
      <left style="thin">
        <color theme="3" tint="0.39991454817346722"/>
      </left>
      <right/>
      <top/>
      <bottom style="thin">
        <color theme="3" tint="0.39991454817346722"/>
      </bottom>
      <diagonal/>
    </border>
    <border>
      <left/>
      <right/>
      <top/>
      <bottom style="thin">
        <color theme="3" tint="0.39991454817346722"/>
      </bottom>
      <diagonal/>
    </border>
    <border>
      <left/>
      <right style="thin">
        <color theme="3" tint="0.39991454817346722"/>
      </right>
      <top/>
      <bottom style="thin">
        <color theme="3" tint="0.3999145481734672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indexed="48"/>
      </left>
      <right/>
      <top style="thin">
        <color theme="3" tint="0.39991454817346722"/>
      </top>
      <bottom style="hair">
        <color indexed="48"/>
      </bottom>
      <diagonal/>
    </border>
    <border>
      <left/>
      <right/>
      <top style="thin">
        <color theme="3" tint="0.39991454817346722"/>
      </top>
      <bottom style="hair">
        <color indexed="48"/>
      </bottom>
      <diagonal/>
    </border>
    <border>
      <left/>
      <right style="hair">
        <color indexed="48"/>
      </right>
      <top style="thin">
        <color theme="3" tint="0.39991454817346722"/>
      </top>
      <bottom style="hair">
        <color indexed="48"/>
      </bottom>
      <diagonal/>
    </border>
    <border>
      <left style="hair">
        <color indexed="48"/>
      </left>
      <right style="thin">
        <color indexed="48"/>
      </right>
      <top style="thin">
        <color theme="3" tint="0.39991454817346722"/>
      </top>
      <bottom style="hair">
        <color indexed="48"/>
      </bottom>
      <diagonal/>
    </border>
    <border>
      <left style="thin">
        <color indexed="48"/>
      </left>
      <right style="hair">
        <color indexed="48"/>
      </right>
      <top style="thin">
        <color theme="3" tint="0.39991454817346722"/>
      </top>
      <bottom style="hair">
        <color indexed="48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indexed="48"/>
      </left>
      <right/>
      <top style="hair">
        <color indexed="48"/>
      </top>
      <bottom style="hair">
        <color indexed="48"/>
      </bottom>
      <diagonal/>
    </border>
    <border>
      <left/>
      <right/>
      <top style="hair">
        <color indexed="48"/>
      </top>
      <bottom style="hair">
        <color indexed="48"/>
      </bottom>
      <diagonal/>
    </border>
    <border>
      <left/>
      <right style="hair">
        <color indexed="48"/>
      </right>
      <top style="hair">
        <color indexed="48"/>
      </top>
      <bottom style="hair">
        <color indexed="48"/>
      </bottom>
      <diagonal/>
    </border>
    <border>
      <left style="hair">
        <color indexed="48"/>
      </left>
      <right style="thin">
        <color indexed="48"/>
      </right>
      <top style="hair">
        <color indexed="48"/>
      </top>
      <bottom style="hair">
        <color indexed="48"/>
      </bottom>
      <diagonal/>
    </border>
    <border>
      <left style="thin">
        <color indexed="48"/>
      </left>
      <right style="hair">
        <color indexed="48"/>
      </right>
      <top style="hair">
        <color indexed="48"/>
      </top>
      <bottom style="hair">
        <color indexed="48"/>
      </bottom>
      <diagonal/>
    </border>
    <border>
      <left/>
      <right/>
      <top/>
      <bottom style="thin">
        <color indexed="48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/>
      <diagonal/>
    </border>
    <border>
      <left style="thin">
        <color indexed="48"/>
      </left>
      <right/>
      <top style="thin">
        <color indexed="48"/>
      </top>
      <bottom style="hair">
        <color indexed="48"/>
      </bottom>
      <diagonal/>
    </border>
    <border>
      <left style="hair">
        <color indexed="48"/>
      </left>
      <right style="thin">
        <color indexed="48"/>
      </right>
      <top style="thin">
        <color indexed="48"/>
      </top>
      <bottom style="hair">
        <color indexed="48"/>
      </bottom>
      <diagonal/>
    </border>
    <border>
      <left style="thin">
        <color indexed="48"/>
      </left>
      <right style="thin">
        <color indexed="48"/>
      </right>
      <top/>
      <bottom style="thin">
        <color indexed="48"/>
      </bottom>
      <diagonal/>
    </border>
    <border>
      <left style="thin">
        <color indexed="48"/>
      </left>
      <right/>
      <top style="hair">
        <color indexed="48"/>
      </top>
      <bottom style="thin">
        <color indexed="48"/>
      </bottom>
      <diagonal/>
    </border>
    <border>
      <left style="hair">
        <color indexed="48"/>
      </left>
      <right style="thin">
        <color indexed="48"/>
      </right>
      <top style="hair">
        <color indexed="48"/>
      </top>
      <bottom style="thin">
        <color indexed="48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/>
      <diagonal/>
    </border>
    <border>
      <left/>
      <right style="thin">
        <color theme="3" tint="0.39994506668294322"/>
      </right>
      <top/>
      <bottom/>
      <diagonal/>
    </border>
    <border>
      <left style="thin">
        <color theme="3" tint="0.39994506668294322"/>
      </left>
      <right/>
      <top style="thin">
        <color theme="3" tint="0.39991454817346722"/>
      </top>
      <bottom/>
      <diagonal/>
    </border>
    <border>
      <left/>
      <right style="thin">
        <color theme="3" tint="0.39994506668294322"/>
      </right>
      <top/>
      <bottom style="thin">
        <color theme="3" tint="0.39994506668294322"/>
      </bottom>
      <diagonal/>
    </border>
    <border>
      <left style="thin">
        <color theme="3" tint="0.39994506668294322"/>
      </left>
      <right/>
      <top/>
      <bottom/>
      <diagonal/>
    </border>
    <border>
      <left/>
      <right style="thin">
        <color theme="3" tint="0.39988402966399123"/>
      </right>
      <top style="thin">
        <color theme="3" tint="0.39991454817346722"/>
      </top>
      <bottom/>
      <diagonal/>
    </border>
    <border>
      <left/>
      <right style="thin">
        <color theme="3" tint="0.39988402966399123"/>
      </right>
      <top/>
      <bottom style="thin">
        <color theme="3" tint="0.39991454817346722"/>
      </bottom>
      <diagonal/>
    </border>
    <border>
      <left/>
      <right style="thin">
        <color theme="3" tint="0.39988402966399123"/>
      </right>
      <top/>
      <bottom style="hair">
        <color indexed="48"/>
      </bottom>
      <diagonal/>
    </border>
    <border>
      <left/>
      <right style="thin">
        <color theme="3" tint="0.39988402966399123"/>
      </right>
      <top style="hair">
        <color indexed="48"/>
      </top>
      <bottom style="hair">
        <color indexed="48"/>
      </bottom>
      <diagonal/>
    </border>
    <border>
      <left style="thin">
        <color rgb="FF3366FF"/>
      </left>
      <right/>
      <top style="thin">
        <color rgb="FF3366FF"/>
      </top>
      <bottom style="thin">
        <color rgb="FF3366FF"/>
      </bottom>
      <diagonal/>
    </border>
    <border>
      <left style="thin">
        <color rgb="FF3366FF"/>
      </left>
      <right style="hair">
        <color indexed="12"/>
      </right>
      <top style="thin">
        <color rgb="FF3366FF"/>
      </top>
      <bottom style="hair">
        <color indexed="12"/>
      </bottom>
      <diagonal/>
    </border>
    <border>
      <left style="hair">
        <color indexed="12"/>
      </left>
      <right style="hair">
        <color indexed="12"/>
      </right>
      <top style="thin">
        <color rgb="FF3366FF"/>
      </top>
      <bottom style="hair">
        <color indexed="12"/>
      </bottom>
      <diagonal/>
    </border>
    <border>
      <left style="hair">
        <color indexed="12"/>
      </left>
      <right style="thin">
        <color rgb="FF3366FF"/>
      </right>
      <top style="thin">
        <color rgb="FF3366FF"/>
      </top>
      <bottom style="hair">
        <color indexed="12"/>
      </bottom>
      <diagonal/>
    </border>
    <border>
      <left style="thin">
        <color rgb="FF3366FF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 style="thin">
        <color rgb="FF3366FF"/>
      </right>
      <top style="hair">
        <color indexed="12"/>
      </top>
      <bottom style="hair">
        <color indexed="12"/>
      </bottom>
      <diagonal/>
    </border>
    <border>
      <left style="thin">
        <color rgb="FF3366FF"/>
      </left>
      <right style="hair">
        <color indexed="12"/>
      </right>
      <top style="hair">
        <color indexed="12"/>
      </top>
      <bottom style="thin">
        <color rgb="FF3366FF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thin">
        <color rgb="FF3366FF"/>
      </bottom>
      <diagonal/>
    </border>
    <border>
      <left style="hair">
        <color indexed="12"/>
      </left>
      <right style="thin">
        <color rgb="FF3366FF"/>
      </right>
      <top style="hair">
        <color indexed="12"/>
      </top>
      <bottom style="thin">
        <color rgb="FF3366FF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48"/>
      </left>
      <right style="hair">
        <color indexed="48"/>
      </right>
      <top style="thin">
        <color indexed="48"/>
      </top>
      <bottom style="hair">
        <color indexed="48"/>
      </bottom>
      <diagonal/>
    </border>
    <border>
      <left style="hair">
        <color indexed="48"/>
      </left>
      <right style="hair">
        <color indexed="48"/>
      </right>
      <top style="hair">
        <color indexed="48"/>
      </top>
      <bottom style="thin">
        <color indexed="48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dashed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dashed">
        <color rgb="FF000000"/>
      </bottom>
      <diagonal/>
    </border>
    <border>
      <left style="thin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 style="thin">
        <color rgb="FF000000"/>
      </right>
      <top style="dashed">
        <color rgb="FF000000"/>
      </top>
      <bottom style="dashed">
        <color rgb="FF000000"/>
      </bottom>
      <diagonal/>
    </border>
    <border>
      <left style="thin">
        <color rgb="FF000000"/>
      </left>
      <right style="dashed">
        <color rgb="FF000000"/>
      </right>
      <top style="dashed">
        <color rgb="FF000000"/>
      </top>
      <bottom style="thin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dashed">
        <color rgb="FF000000"/>
      </top>
      <bottom style="thin">
        <color rgb="FF000000"/>
      </bottom>
      <diagonal/>
    </border>
    <border>
      <left style="dashed">
        <color theme="4"/>
      </left>
      <right style="dashed">
        <color theme="4"/>
      </right>
      <top style="dashed">
        <color theme="4"/>
      </top>
      <bottom style="dashed">
        <color theme="4"/>
      </bottom>
      <diagonal/>
    </border>
    <border>
      <left style="thin">
        <color rgb="FF3366FF"/>
      </left>
      <right/>
      <top style="thin">
        <color rgb="FF3366FF"/>
      </top>
      <bottom/>
      <diagonal/>
    </border>
    <border>
      <left/>
      <right/>
      <top style="thin">
        <color rgb="FF3366FF"/>
      </top>
      <bottom/>
      <diagonal/>
    </border>
    <border>
      <left/>
      <right style="thin">
        <color rgb="FF3366FF"/>
      </right>
      <top style="thin">
        <color rgb="FF3366FF"/>
      </top>
      <bottom/>
      <diagonal/>
    </border>
    <border>
      <left style="thin">
        <color theme="4"/>
      </left>
      <right style="dashed">
        <color theme="4"/>
      </right>
      <top style="thin">
        <color theme="4"/>
      </top>
      <bottom style="dashed">
        <color theme="4"/>
      </bottom>
      <diagonal/>
    </border>
    <border>
      <left style="dashed">
        <color theme="4"/>
      </left>
      <right style="dashed">
        <color theme="4"/>
      </right>
      <top style="thin">
        <color theme="4"/>
      </top>
      <bottom style="dashed">
        <color theme="4"/>
      </bottom>
      <diagonal/>
    </border>
    <border>
      <left style="dashed">
        <color theme="4"/>
      </left>
      <right style="thin">
        <color theme="4"/>
      </right>
      <top style="thin">
        <color theme="4"/>
      </top>
      <bottom style="dashed">
        <color theme="4"/>
      </bottom>
      <diagonal/>
    </border>
    <border>
      <left style="thin">
        <color theme="4"/>
      </left>
      <right style="dashed">
        <color theme="4"/>
      </right>
      <top style="dashed">
        <color theme="4"/>
      </top>
      <bottom style="dashed">
        <color theme="4"/>
      </bottom>
      <diagonal/>
    </border>
    <border>
      <left style="dashed">
        <color theme="4"/>
      </left>
      <right style="thin">
        <color theme="4"/>
      </right>
      <top style="dashed">
        <color theme="4"/>
      </top>
      <bottom style="dashed">
        <color theme="4"/>
      </bottom>
      <diagonal/>
    </border>
    <border>
      <left style="thin">
        <color theme="4"/>
      </left>
      <right style="dashed">
        <color theme="4"/>
      </right>
      <top style="dashed">
        <color theme="4"/>
      </top>
      <bottom style="thin">
        <color theme="4"/>
      </bottom>
      <diagonal/>
    </border>
    <border>
      <left style="dashed">
        <color theme="4"/>
      </left>
      <right style="dashed">
        <color theme="4"/>
      </right>
      <top style="dashed">
        <color theme="4"/>
      </top>
      <bottom style="thin">
        <color theme="4"/>
      </bottom>
      <diagonal/>
    </border>
    <border>
      <left style="dashed">
        <color theme="4"/>
      </left>
      <right style="thin">
        <color theme="4"/>
      </right>
      <top style="dashed">
        <color theme="4"/>
      </top>
      <bottom style="thin">
        <color theme="4"/>
      </bottom>
      <diagonal/>
    </border>
    <border>
      <left/>
      <right/>
      <top style="medium">
        <color rgb="FF0000FF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1" fillId="6" borderId="51" applyNumberFormat="0" applyFont="0" applyAlignment="0" applyProtection="0"/>
  </cellStyleXfs>
  <cellXfs count="164">
    <xf numFmtId="0" fontId="0" fillId="0" borderId="0" xfId="0"/>
    <xf numFmtId="0" fontId="1" fillId="0" borderId="0" xfId="0" applyFont="1"/>
    <xf numFmtId="0" fontId="0" fillId="0" borderId="0" xfId="0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Alignment="1" applyProtection="1">
      <alignment vertical="center" shrinkToFit="1"/>
      <protection hidden="1"/>
    </xf>
    <xf numFmtId="0" fontId="0" fillId="0" borderId="0" xfId="0" applyAlignment="1" applyProtection="1">
      <alignment horizontal="center" vertical="center" shrinkToFit="1"/>
      <protection hidden="1"/>
    </xf>
    <xf numFmtId="0" fontId="0" fillId="0" borderId="0" xfId="0" applyProtection="1">
      <protection hidden="1"/>
    </xf>
    <xf numFmtId="0" fontId="0" fillId="3" borderId="10" xfId="0" applyFill="1" applyBorder="1" applyAlignment="1" applyProtection="1">
      <alignment horizontal="center" vertical="center" shrinkToFit="1"/>
      <protection hidden="1"/>
    </xf>
    <xf numFmtId="0" fontId="1" fillId="3" borderId="11" xfId="0" applyFont="1" applyFill="1" applyBorder="1" applyAlignment="1" applyProtection="1">
      <alignment horizontal="center" vertical="center" shrinkToFit="1"/>
      <protection hidden="1"/>
    </xf>
    <xf numFmtId="0" fontId="0" fillId="3" borderId="11" xfId="0" applyFill="1" applyBorder="1" applyAlignment="1" applyProtection="1">
      <alignment horizontal="center" vertical="center" shrinkToFit="1"/>
      <protection hidden="1"/>
    </xf>
    <xf numFmtId="0" fontId="1" fillId="4" borderId="14" xfId="0" applyFon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 shrinkToFit="1"/>
      <protection hidden="1"/>
    </xf>
    <xf numFmtId="0" fontId="1" fillId="3" borderId="19" xfId="0" applyFont="1" applyFill="1" applyBorder="1" applyAlignment="1" applyProtection="1">
      <alignment horizontal="center" vertical="center" shrinkToFit="1"/>
      <protection hidden="1"/>
    </xf>
    <xf numFmtId="0" fontId="0" fillId="3" borderId="19" xfId="0" applyFill="1" applyBorder="1" applyAlignment="1" applyProtection="1">
      <alignment horizontal="center" vertical="center" shrinkToFit="1"/>
      <protection hidden="1"/>
    </xf>
    <xf numFmtId="0" fontId="1" fillId="4" borderId="22" xfId="0" applyFont="1" applyFill="1" applyBorder="1" applyAlignment="1" applyProtection="1">
      <alignment horizontal="center" vertical="center"/>
      <protection locked="0"/>
    </xf>
    <xf numFmtId="0" fontId="1" fillId="4" borderId="21" xfId="0" applyFont="1" applyFill="1" applyBorder="1" applyAlignment="1" applyProtection="1">
      <alignment horizontal="center" vertical="center"/>
      <protection locked="0"/>
    </xf>
    <xf numFmtId="0" fontId="0" fillId="3" borderId="0" xfId="0" applyFill="1" applyAlignment="1" applyProtection="1">
      <alignment vertical="center"/>
      <protection hidden="1"/>
    </xf>
    <xf numFmtId="0" fontId="1" fillId="3" borderId="23" xfId="0" applyFont="1" applyFill="1" applyBorder="1" applyAlignment="1" applyProtection="1">
      <alignment horizontal="right" vertical="center"/>
      <protection hidden="1"/>
    </xf>
    <xf numFmtId="0" fontId="0" fillId="0" borderId="24" xfId="0" applyBorder="1" applyAlignment="1" applyProtection="1">
      <alignment horizontal="center" vertical="center" shrinkToFit="1"/>
      <protection hidden="1"/>
    </xf>
    <xf numFmtId="0" fontId="0" fillId="3" borderId="26" xfId="0" applyFill="1" applyBorder="1" applyAlignment="1" applyProtection="1">
      <alignment horizontal="left" vertical="center" shrinkToFit="1"/>
      <protection hidden="1"/>
    </xf>
    <xf numFmtId="0" fontId="1" fillId="4" borderId="27" xfId="0" applyFont="1" applyFill="1" applyBorder="1" applyAlignment="1" applyProtection="1">
      <alignment horizontal="center" vertical="center"/>
      <protection locked="0"/>
    </xf>
    <xf numFmtId="0" fontId="0" fillId="3" borderId="29" xfId="0" applyFill="1" applyBorder="1" applyAlignment="1" applyProtection="1">
      <alignment horizontal="left" vertical="center" shrinkToFit="1"/>
      <protection hidden="1"/>
    </xf>
    <xf numFmtId="0" fontId="1" fillId="4" borderId="30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right" vertical="center"/>
      <protection hidden="1"/>
    </xf>
    <xf numFmtId="0" fontId="0" fillId="3" borderId="0" xfId="0" applyFill="1" applyAlignment="1" applyProtection="1">
      <alignment horizontal="right" vertical="center"/>
      <protection hidden="1"/>
    </xf>
    <xf numFmtId="0" fontId="0" fillId="0" borderId="41" xfId="0" applyBorder="1" applyAlignment="1" applyProtection="1">
      <alignment vertical="center" shrinkToFit="1"/>
      <protection hidden="1"/>
    </xf>
    <xf numFmtId="0" fontId="0" fillId="0" borderId="42" xfId="0" applyBorder="1" applyAlignment="1" applyProtection="1">
      <alignment horizontal="center" vertical="center" shrinkToFit="1"/>
      <protection hidden="1"/>
    </xf>
    <xf numFmtId="0" fontId="0" fillId="0" borderId="43" xfId="0" applyBorder="1" applyAlignment="1" applyProtection="1">
      <alignment horizontal="center" vertical="center" shrinkToFit="1"/>
      <protection hidden="1"/>
    </xf>
    <xf numFmtId="0" fontId="0" fillId="0" borderId="44" xfId="0" applyBorder="1" applyAlignment="1" applyProtection="1">
      <alignment vertical="center" shrinkToFit="1"/>
      <protection hidden="1"/>
    </xf>
    <xf numFmtId="0" fontId="0" fillId="0" borderId="45" xfId="0" applyBorder="1" applyAlignment="1" applyProtection="1">
      <alignment horizontal="center" vertical="center" shrinkToFit="1"/>
      <protection hidden="1"/>
    </xf>
    <xf numFmtId="0" fontId="0" fillId="0" borderId="46" xfId="0" applyBorder="1" applyAlignment="1" applyProtection="1">
      <alignment vertical="center" shrinkToFit="1"/>
      <protection hidden="1"/>
    </xf>
    <xf numFmtId="0" fontId="0" fillId="0" borderId="47" xfId="0" applyBorder="1" applyAlignment="1" applyProtection="1">
      <alignment horizontal="center" vertical="center" shrinkToFit="1"/>
      <protection hidden="1"/>
    </xf>
    <xf numFmtId="0" fontId="0" fillId="0" borderId="48" xfId="0" applyBorder="1" applyAlignment="1" applyProtection="1">
      <alignment horizontal="center" vertical="center" shrinkToFit="1"/>
      <protection hidden="1"/>
    </xf>
    <xf numFmtId="0" fontId="8" fillId="5" borderId="40" xfId="0" applyFont="1" applyFill="1" applyBorder="1" applyAlignment="1" applyProtection="1">
      <alignment horizontal="center" vertical="center" shrinkToFit="1"/>
      <protection hidden="1"/>
    </xf>
    <xf numFmtId="0" fontId="12" fillId="7" borderId="52" xfId="0" applyFont="1" applyFill="1" applyBorder="1" applyAlignment="1" applyProtection="1">
      <alignment horizontal="left" indent="1"/>
      <protection hidden="1"/>
    </xf>
    <xf numFmtId="0" fontId="1" fillId="7" borderId="53" xfId="0" applyFont="1" applyFill="1" applyBorder="1" applyAlignment="1" applyProtection="1">
      <alignment horizontal="left"/>
      <protection hidden="1"/>
    </xf>
    <xf numFmtId="0" fontId="1" fillId="7" borderId="54" xfId="0" applyFont="1" applyFill="1" applyBorder="1" applyProtection="1">
      <protection hidden="1"/>
    </xf>
    <xf numFmtId="0" fontId="1" fillId="7" borderId="55" xfId="0" applyFont="1" applyFill="1" applyBorder="1" applyProtection="1">
      <protection hidden="1"/>
    </xf>
    <xf numFmtId="0" fontId="1" fillId="7" borderId="0" xfId="0" applyFont="1" applyFill="1" applyAlignment="1" applyProtection="1">
      <alignment horizontal="left"/>
      <protection hidden="1"/>
    </xf>
    <xf numFmtId="0" fontId="1" fillId="7" borderId="56" xfId="0" applyFont="1" applyFill="1" applyBorder="1" applyProtection="1">
      <protection hidden="1"/>
    </xf>
    <xf numFmtId="0" fontId="1" fillId="7" borderId="0" xfId="0" applyFont="1" applyFill="1" applyProtection="1">
      <protection hidden="1"/>
    </xf>
    <xf numFmtId="0" fontId="1" fillId="7" borderId="55" xfId="0" applyFont="1" applyFill="1" applyBorder="1" applyAlignment="1" applyProtection="1">
      <alignment horizontal="right"/>
      <protection hidden="1"/>
    </xf>
    <xf numFmtId="0" fontId="1" fillId="8" borderId="57" xfId="0" applyFont="1" applyFill="1" applyBorder="1" applyProtection="1">
      <protection hidden="1"/>
    </xf>
    <xf numFmtId="0" fontId="1" fillId="8" borderId="58" xfId="0" applyFont="1" applyFill="1" applyBorder="1" applyProtection="1">
      <protection hidden="1"/>
    </xf>
    <xf numFmtId="0" fontId="1" fillId="8" borderId="59" xfId="0" applyFont="1" applyFill="1" applyBorder="1" applyProtection="1">
      <protection hidden="1"/>
    </xf>
    <xf numFmtId="0" fontId="1" fillId="7" borderId="60" xfId="0" applyFont="1" applyFill="1" applyBorder="1" applyProtection="1">
      <protection hidden="1"/>
    </xf>
    <xf numFmtId="0" fontId="1" fillId="7" borderId="61" xfId="0" applyFont="1" applyFill="1" applyBorder="1" applyProtection="1">
      <protection hidden="1"/>
    </xf>
    <xf numFmtId="0" fontId="1" fillId="7" borderId="62" xfId="0" applyFont="1" applyFill="1" applyBorder="1" applyAlignment="1" applyProtection="1">
      <alignment horizontal="left"/>
      <protection hidden="1"/>
    </xf>
    <xf numFmtId="0" fontId="1" fillId="7" borderId="63" xfId="0" applyFont="1" applyFill="1" applyBorder="1" applyProtection="1">
      <protection hidden="1"/>
    </xf>
    <xf numFmtId="0" fontId="1" fillId="7" borderId="55" xfId="0" applyFont="1" applyFill="1" applyBorder="1" applyAlignment="1" applyProtection="1">
      <alignment horizontal="right" vertical="center"/>
      <protection hidden="1"/>
    </xf>
    <xf numFmtId="0" fontId="13" fillId="7" borderId="64" xfId="0" applyFont="1" applyFill="1" applyBorder="1" applyAlignment="1" applyProtection="1">
      <alignment horizontal="left" vertical="center"/>
      <protection hidden="1"/>
    </xf>
    <xf numFmtId="0" fontId="13" fillId="7" borderId="60" xfId="0" applyFont="1" applyFill="1" applyBorder="1" applyAlignment="1" applyProtection="1">
      <alignment horizontal="left" vertical="center"/>
      <protection hidden="1"/>
    </xf>
    <xf numFmtId="0" fontId="1" fillId="7" borderId="65" xfId="0" applyFont="1" applyFill="1" applyBorder="1" applyProtection="1">
      <protection hidden="1"/>
    </xf>
    <xf numFmtId="0" fontId="12" fillId="7" borderId="66" xfId="0" applyFont="1" applyFill="1" applyBorder="1" applyAlignment="1" applyProtection="1">
      <alignment horizontal="center"/>
      <protection hidden="1"/>
    </xf>
    <xf numFmtId="0" fontId="1" fillId="7" borderId="55" xfId="0" applyFont="1" applyFill="1" applyBorder="1" applyAlignment="1" applyProtection="1">
      <alignment horizontal="left" indent="1"/>
      <protection hidden="1"/>
    </xf>
    <xf numFmtId="0" fontId="1" fillId="6" borderId="51" xfId="2" applyFont="1" applyAlignment="1" applyProtection="1">
      <alignment horizontal="left" vertical="center" indent="1"/>
      <protection locked="0"/>
    </xf>
    <xf numFmtId="0" fontId="1" fillId="4" borderId="26" xfId="0" applyFont="1" applyFill="1" applyBorder="1" applyAlignment="1" applyProtection="1">
      <alignment horizontal="center" vertical="center"/>
      <protection locked="0"/>
    </xf>
    <xf numFmtId="0" fontId="1" fillId="4" borderId="29" xfId="0" applyFont="1" applyFill="1" applyBorder="1" applyAlignment="1" applyProtection="1">
      <alignment horizontal="center" vertical="center"/>
      <protection locked="0"/>
    </xf>
    <xf numFmtId="0" fontId="1" fillId="4" borderId="67" xfId="0" applyFont="1" applyFill="1" applyBorder="1" applyAlignment="1" applyProtection="1">
      <alignment horizontal="center" vertical="center"/>
      <protection locked="0"/>
    </xf>
    <xf numFmtId="0" fontId="1" fillId="4" borderId="68" xfId="0" applyFont="1" applyFill="1" applyBorder="1" applyAlignment="1" applyProtection="1">
      <alignment horizontal="center" vertical="center"/>
      <protection locked="0"/>
    </xf>
    <xf numFmtId="3" fontId="1" fillId="6" borderId="69" xfId="2" applyNumberFormat="1" applyFont="1" applyBorder="1" applyAlignment="1" applyProtection="1">
      <alignment horizontal="center"/>
      <protection locked="0"/>
    </xf>
    <xf numFmtId="3" fontId="1" fillId="6" borderId="70" xfId="2" applyNumberFormat="1" applyFont="1" applyBorder="1" applyAlignment="1" applyProtection="1">
      <alignment horizontal="center"/>
      <protection locked="0"/>
    </xf>
    <xf numFmtId="3" fontId="1" fillId="6" borderId="71" xfId="2" applyNumberFormat="1" applyFont="1" applyBorder="1" applyAlignment="1" applyProtection="1">
      <alignment horizontal="center"/>
      <protection locked="0"/>
    </xf>
    <xf numFmtId="0" fontId="15" fillId="0" borderId="0" xfId="0" applyFont="1" applyAlignment="1" applyProtection="1">
      <alignment vertical="center"/>
      <protection hidden="1"/>
    </xf>
    <xf numFmtId="0" fontId="16" fillId="0" borderId="0" xfId="0" applyFont="1" applyAlignment="1" applyProtection="1">
      <alignment vertical="center"/>
      <protection hidden="1"/>
    </xf>
    <xf numFmtId="0" fontId="16" fillId="0" borderId="0" xfId="0" applyFont="1" applyAlignment="1" applyProtection="1">
      <alignment horizontal="center" vertical="center" shrinkToFit="1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vertical="center" shrinkToFit="1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right" vertical="center"/>
      <protection hidden="1"/>
    </xf>
    <xf numFmtId="0" fontId="16" fillId="0" borderId="0" xfId="0" applyFont="1" applyAlignment="1" applyProtection="1">
      <alignment horizontal="left" vertical="center"/>
      <protection hidden="1"/>
    </xf>
    <xf numFmtId="0" fontId="16" fillId="0" borderId="0" xfId="0" applyFont="1" applyProtection="1">
      <protection hidden="1"/>
    </xf>
    <xf numFmtId="0" fontId="0" fillId="3" borderId="13" xfId="0" applyFill="1" applyBorder="1" applyAlignment="1" applyProtection="1">
      <alignment horizontal="right" vertical="center" indent="3" shrinkToFit="1"/>
      <protection hidden="1"/>
    </xf>
    <xf numFmtId="0" fontId="0" fillId="3" borderId="21" xfId="0" applyFill="1" applyBorder="1" applyAlignment="1" applyProtection="1">
      <alignment horizontal="right" vertical="center" indent="3" shrinkToFit="1"/>
      <protection hidden="1"/>
    </xf>
    <xf numFmtId="0" fontId="0" fillId="3" borderId="38" xfId="0" applyFill="1" applyBorder="1" applyAlignment="1" applyProtection="1">
      <alignment horizontal="left" vertical="center" indent="3" shrinkToFit="1"/>
      <protection hidden="1"/>
    </xf>
    <xf numFmtId="0" fontId="0" fillId="3" borderId="39" xfId="0" applyFill="1" applyBorder="1" applyAlignment="1" applyProtection="1">
      <alignment horizontal="left" vertical="center" indent="3" shrinkToFit="1"/>
      <protection hidden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72" xfId="0" applyBorder="1" applyAlignment="1">
      <alignment horizontal="center" vertical="center"/>
    </xf>
    <xf numFmtId="0" fontId="18" fillId="5" borderId="76" xfId="0" applyFont="1" applyFill="1" applyBorder="1" applyAlignment="1">
      <alignment horizontal="center" vertical="center"/>
    </xf>
    <xf numFmtId="0" fontId="18" fillId="5" borderId="77" xfId="0" applyFont="1" applyFill="1" applyBorder="1" applyAlignment="1">
      <alignment horizontal="center" vertical="center"/>
    </xf>
    <xf numFmtId="0" fontId="18" fillId="5" borderId="77" xfId="0" applyFont="1" applyFill="1" applyBorder="1" applyAlignment="1">
      <alignment horizontal="center" vertical="center" wrapText="1"/>
    </xf>
    <xf numFmtId="0" fontId="18" fillId="5" borderId="78" xfId="0" applyFont="1" applyFill="1" applyBorder="1" applyAlignment="1">
      <alignment horizontal="center" vertical="center" wrapText="1"/>
    </xf>
    <xf numFmtId="0" fontId="0" fillId="0" borderId="79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8" fillId="5" borderId="85" xfId="0" applyFont="1" applyFill="1" applyBorder="1" applyAlignment="1" applyProtection="1">
      <alignment horizontal="center" vertical="center" shrinkToFit="1"/>
      <protection hidden="1"/>
    </xf>
    <xf numFmtId="0" fontId="8" fillId="5" borderId="86" xfId="0" applyFont="1" applyFill="1" applyBorder="1" applyAlignment="1" applyProtection="1">
      <alignment horizontal="center" vertical="center" shrinkToFit="1"/>
      <protection hidden="1"/>
    </xf>
    <xf numFmtId="0" fontId="8" fillId="5" borderId="87" xfId="0" applyFont="1" applyFill="1" applyBorder="1" applyAlignment="1" applyProtection="1">
      <alignment horizontal="center" vertical="center" shrinkToFit="1"/>
      <protection hidden="1"/>
    </xf>
    <xf numFmtId="0" fontId="19" fillId="9" borderId="88" xfId="0" applyFont="1" applyFill="1" applyBorder="1" applyAlignment="1" applyProtection="1">
      <alignment vertical="center" shrinkToFit="1"/>
      <protection hidden="1"/>
    </xf>
    <xf numFmtId="0" fontId="19" fillId="9" borderId="89" xfId="0" applyFont="1" applyFill="1" applyBorder="1" applyAlignment="1" applyProtection="1">
      <alignment horizontal="center" vertical="center" shrinkToFit="1"/>
      <protection hidden="1"/>
    </xf>
    <xf numFmtId="0" fontId="19" fillId="9" borderId="90" xfId="0" applyFont="1" applyFill="1" applyBorder="1" applyAlignment="1" applyProtection="1">
      <alignment horizontal="center" vertical="center" shrinkToFit="1"/>
      <protection hidden="1"/>
    </xf>
    <xf numFmtId="0" fontId="19" fillId="9" borderId="91" xfId="0" applyFont="1" applyFill="1" applyBorder="1" applyAlignment="1" applyProtection="1">
      <alignment vertical="center" shrinkToFit="1"/>
      <protection hidden="1"/>
    </xf>
    <xf numFmtId="0" fontId="19" fillId="9" borderId="84" xfId="0" applyFont="1" applyFill="1" applyBorder="1" applyAlignment="1" applyProtection="1">
      <alignment horizontal="center" vertical="center" shrinkToFit="1"/>
      <protection hidden="1"/>
    </xf>
    <xf numFmtId="0" fontId="19" fillId="9" borderId="92" xfId="0" applyFont="1" applyFill="1" applyBorder="1" applyAlignment="1" applyProtection="1">
      <alignment horizontal="center" vertical="center" shrinkToFit="1"/>
      <protection hidden="1"/>
    </xf>
    <xf numFmtId="0" fontId="19" fillId="10" borderId="91" xfId="0" applyFont="1" applyFill="1" applyBorder="1" applyAlignment="1" applyProtection="1">
      <alignment vertical="center" shrinkToFit="1"/>
      <protection hidden="1"/>
    </xf>
    <xf numFmtId="0" fontId="19" fillId="10" borderId="84" xfId="0" applyFont="1" applyFill="1" applyBorder="1" applyAlignment="1" applyProtection="1">
      <alignment horizontal="center" vertical="center" shrinkToFit="1"/>
      <protection hidden="1"/>
    </xf>
    <xf numFmtId="0" fontId="19" fillId="10" borderId="92" xfId="0" applyFont="1" applyFill="1" applyBorder="1" applyAlignment="1" applyProtection="1">
      <alignment horizontal="center" vertical="center" shrinkToFit="1"/>
      <protection hidden="1"/>
    </xf>
    <xf numFmtId="0" fontId="19" fillId="10" borderId="93" xfId="0" applyFont="1" applyFill="1" applyBorder="1" applyAlignment="1" applyProtection="1">
      <alignment vertical="center" shrinkToFit="1"/>
      <protection hidden="1"/>
    </xf>
    <xf numFmtId="0" fontId="19" fillId="10" borderId="94" xfId="0" applyFont="1" applyFill="1" applyBorder="1" applyAlignment="1" applyProtection="1">
      <alignment horizontal="center" vertical="center" shrinkToFit="1"/>
      <protection hidden="1"/>
    </xf>
    <xf numFmtId="0" fontId="19" fillId="10" borderId="95" xfId="0" applyFont="1" applyFill="1" applyBorder="1" applyAlignment="1" applyProtection="1">
      <alignment horizontal="center" vertical="center" shrinkToFit="1"/>
      <protection hidden="1"/>
    </xf>
    <xf numFmtId="0" fontId="10" fillId="0" borderId="0" xfId="0" applyFont="1" applyAlignment="1">
      <alignment horizontal="left" vertical="center"/>
    </xf>
    <xf numFmtId="0" fontId="0" fillId="9" borderId="73" xfId="0" applyFill="1" applyBorder="1" applyAlignment="1">
      <alignment horizontal="center" vertical="center"/>
    </xf>
    <xf numFmtId="14" fontId="1" fillId="3" borderId="23" xfId="0" applyNumberFormat="1" applyFont="1" applyFill="1" applyBorder="1" applyAlignment="1" applyProtection="1">
      <alignment horizontal="right" vertical="center"/>
      <protection hidden="1"/>
    </xf>
    <xf numFmtId="165" fontId="18" fillId="0" borderId="0" xfId="0" applyNumberFormat="1" applyFont="1" applyAlignment="1" applyProtection="1">
      <alignment vertical="center"/>
      <protection hidden="1"/>
    </xf>
    <xf numFmtId="165" fontId="18" fillId="3" borderId="0" xfId="0" applyNumberFormat="1" applyFont="1" applyFill="1" applyAlignment="1" applyProtection="1">
      <alignment vertical="center"/>
      <protection hidden="1"/>
    </xf>
    <xf numFmtId="165" fontId="18" fillId="3" borderId="31" xfId="0" applyNumberFormat="1" applyFont="1" applyFill="1" applyBorder="1" applyAlignment="1" applyProtection="1">
      <alignment vertical="center"/>
      <protection hidden="1"/>
    </xf>
    <xf numFmtId="165" fontId="18" fillId="3" borderId="32" xfId="0" applyNumberFormat="1" applyFont="1" applyFill="1" applyBorder="1" applyAlignment="1" applyProtection="1">
      <alignment vertical="center"/>
      <protection hidden="1"/>
    </xf>
    <xf numFmtId="165" fontId="18" fillId="3" borderId="33" xfId="0" applyNumberFormat="1" applyFont="1" applyFill="1" applyBorder="1" applyAlignment="1" applyProtection="1">
      <alignment vertical="center"/>
      <protection hidden="1"/>
    </xf>
    <xf numFmtId="165" fontId="18" fillId="3" borderId="34" xfId="0" applyNumberFormat="1" applyFont="1" applyFill="1" applyBorder="1" applyAlignment="1" applyProtection="1">
      <alignment vertical="center"/>
      <protection hidden="1"/>
    </xf>
    <xf numFmtId="165" fontId="18" fillId="3" borderId="35" xfId="0" applyNumberFormat="1" applyFont="1" applyFill="1" applyBorder="1" applyAlignment="1" applyProtection="1">
      <alignment vertical="center"/>
      <protection hidden="1"/>
    </xf>
    <xf numFmtId="165" fontId="18" fillId="0" borderId="0" xfId="0" applyNumberFormat="1" applyFont="1" applyProtection="1">
      <protection hidden="1"/>
    </xf>
    <xf numFmtId="164" fontId="0" fillId="3" borderId="12" xfId="0" applyNumberFormat="1" applyFill="1" applyBorder="1" applyAlignment="1" applyProtection="1">
      <alignment horizontal="center" vertical="center" shrinkToFit="1"/>
      <protection hidden="1"/>
    </xf>
    <xf numFmtId="164" fontId="0" fillId="3" borderId="20" xfId="0" applyNumberFormat="1" applyFill="1" applyBorder="1" applyAlignment="1" applyProtection="1">
      <alignment horizontal="center" vertical="center" shrinkToFit="1"/>
      <protection hidden="1"/>
    </xf>
    <xf numFmtId="0" fontId="0" fillId="9" borderId="74" xfId="0" applyFill="1" applyBorder="1" applyAlignment="1" applyProtection="1">
      <alignment horizontal="center" vertical="center"/>
      <protection hidden="1"/>
    </xf>
    <xf numFmtId="0" fontId="0" fillId="9" borderId="75" xfId="0" applyFill="1" applyBorder="1" applyAlignment="1" applyProtection="1">
      <alignment horizontal="center" vertical="center"/>
      <protection hidden="1"/>
    </xf>
    <xf numFmtId="165" fontId="23" fillId="0" borderId="0" xfId="0" applyNumberFormat="1" applyFont="1" applyAlignment="1" applyProtection="1">
      <alignment horizontal="center" vertical="center"/>
      <protection hidden="1"/>
    </xf>
    <xf numFmtId="165" fontId="23" fillId="0" borderId="0" xfId="0" applyNumberFormat="1" applyFont="1" applyAlignment="1" applyProtection="1">
      <alignment vertical="center"/>
      <protection hidden="1"/>
    </xf>
    <xf numFmtId="165" fontId="23" fillId="3" borderId="0" xfId="0" applyNumberFormat="1" applyFont="1" applyFill="1" applyAlignment="1" applyProtection="1">
      <alignment vertical="center"/>
      <protection hidden="1"/>
    </xf>
    <xf numFmtId="165" fontId="23" fillId="3" borderId="0" xfId="0" applyNumberFormat="1" applyFont="1" applyFill="1" applyAlignment="1" applyProtection="1">
      <alignment horizontal="center" vertical="center"/>
      <protection hidden="1"/>
    </xf>
    <xf numFmtId="165" fontId="23" fillId="0" borderId="0" xfId="0" applyNumberFormat="1" applyFont="1" applyAlignment="1" applyProtection="1">
      <alignment horizontal="left" vertical="center"/>
      <protection hidden="1"/>
    </xf>
    <xf numFmtId="165" fontId="23" fillId="3" borderId="0" xfId="0" applyNumberFormat="1" applyFont="1" applyFill="1" applyAlignment="1" applyProtection="1">
      <alignment horizontal="center" vertical="center" wrapText="1"/>
      <protection hidden="1"/>
    </xf>
    <xf numFmtId="165" fontId="23" fillId="3" borderId="0" xfId="0" applyNumberFormat="1" applyFont="1" applyFill="1" applyAlignment="1" applyProtection="1">
      <alignment vertical="center" wrapText="1"/>
      <protection hidden="1"/>
    </xf>
    <xf numFmtId="165" fontId="23" fillId="3" borderId="0" xfId="0" applyNumberFormat="1" applyFont="1" applyFill="1" applyAlignment="1" applyProtection="1">
      <alignment horizontal="left" vertical="center"/>
      <protection hidden="1"/>
    </xf>
    <xf numFmtId="0" fontId="0" fillId="3" borderId="25" xfId="0" applyFill="1" applyBorder="1" applyAlignment="1" applyProtection="1">
      <alignment horizontal="center" vertical="center"/>
      <protection hidden="1"/>
    </xf>
    <xf numFmtId="0" fontId="0" fillId="3" borderId="28" xfId="0" applyFill="1" applyBorder="1" applyAlignment="1" applyProtection="1">
      <alignment horizontal="center" vertical="center"/>
      <protection hidden="1"/>
    </xf>
    <xf numFmtId="0" fontId="9" fillId="5" borderId="7" xfId="0" applyFont="1" applyFill="1" applyBorder="1" applyAlignment="1" applyProtection="1">
      <alignment horizontal="center" vertical="center"/>
      <protection hidden="1"/>
    </xf>
    <xf numFmtId="0" fontId="9" fillId="5" borderId="8" xfId="0" applyFont="1" applyFill="1" applyBorder="1" applyAlignment="1" applyProtection="1">
      <alignment horizontal="center" vertical="center"/>
      <protection hidden="1"/>
    </xf>
    <xf numFmtId="0" fontId="9" fillId="5" borderId="9" xfId="0" applyFont="1" applyFill="1" applyBorder="1" applyAlignment="1" applyProtection="1">
      <alignment horizontal="center" vertical="center"/>
      <protection hidden="1"/>
    </xf>
    <xf numFmtId="0" fontId="9" fillId="5" borderId="15" xfId="0" applyFont="1" applyFill="1" applyBorder="1" applyAlignment="1" applyProtection="1">
      <alignment horizontal="center" vertical="center"/>
      <protection hidden="1"/>
    </xf>
    <xf numFmtId="0" fontId="9" fillId="5" borderId="16" xfId="0" applyFont="1" applyFill="1" applyBorder="1" applyAlignment="1" applyProtection="1">
      <alignment horizontal="center" vertical="center"/>
      <protection hidden="1"/>
    </xf>
    <xf numFmtId="0" fontId="9" fillId="5" borderId="17" xfId="0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 shrinkToFit="1"/>
      <protection hidden="1"/>
    </xf>
    <xf numFmtId="0" fontId="6" fillId="0" borderId="0" xfId="1" applyFont="1" applyAlignment="1" applyProtection="1">
      <alignment horizontal="right"/>
      <protection hidden="1"/>
    </xf>
    <xf numFmtId="0" fontId="7" fillId="5" borderId="1" xfId="0" applyFont="1" applyFill="1" applyBorder="1" applyAlignment="1" applyProtection="1">
      <alignment horizontal="center" vertical="center"/>
      <protection hidden="1"/>
    </xf>
    <xf numFmtId="0" fontId="7" fillId="5" borderId="2" xfId="0" applyFont="1" applyFill="1" applyBorder="1" applyAlignment="1" applyProtection="1">
      <alignment horizontal="center" vertical="center"/>
      <protection hidden="1"/>
    </xf>
    <xf numFmtId="0" fontId="7" fillId="5" borderId="36" xfId="0" applyFont="1" applyFill="1" applyBorder="1" applyAlignment="1" applyProtection="1">
      <alignment horizontal="center" vertical="center"/>
      <protection hidden="1"/>
    </xf>
    <xf numFmtId="0" fontId="7" fillId="5" borderId="4" xfId="0" applyFont="1" applyFill="1" applyBorder="1" applyAlignment="1" applyProtection="1">
      <alignment horizontal="center" vertical="center"/>
      <protection hidden="1"/>
    </xf>
    <xf numFmtId="0" fontId="7" fillId="5" borderId="5" xfId="0" applyFont="1" applyFill="1" applyBorder="1" applyAlignment="1" applyProtection="1">
      <alignment horizontal="center" vertical="center"/>
      <protection hidden="1"/>
    </xf>
    <xf numFmtId="0" fontId="7" fillId="5" borderId="37" xfId="0" applyFont="1" applyFill="1" applyBorder="1" applyAlignment="1" applyProtection="1">
      <alignment horizontal="center" vertical="center"/>
      <protection hidden="1"/>
    </xf>
    <xf numFmtId="0" fontId="5" fillId="2" borderId="1" xfId="1" applyFont="1" applyFill="1" applyBorder="1" applyAlignment="1" applyProtection="1">
      <alignment horizontal="center" vertical="center"/>
      <protection hidden="1"/>
    </xf>
    <xf numFmtId="0" fontId="5" fillId="2" borderId="2" xfId="1" applyFont="1" applyFill="1" applyBorder="1" applyAlignment="1" applyProtection="1">
      <alignment horizontal="center" vertical="center"/>
      <protection hidden="1"/>
    </xf>
    <xf numFmtId="0" fontId="5" fillId="2" borderId="3" xfId="1" applyFont="1" applyFill="1" applyBorder="1" applyAlignment="1" applyProtection="1">
      <alignment horizontal="center" vertical="center"/>
      <protection hidden="1"/>
    </xf>
    <xf numFmtId="0" fontId="5" fillId="2" borderId="4" xfId="1" applyFont="1" applyFill="1" applyBorder="1" applyAlignment="1" applyProtection="1">
      <alignment horizontal="center" vertical="center"/>
      <protection hidden="1"/>
    </xf>
    <xf numFmtId="0" fontId="5" fillId="2" borderId="5" xfId="1" applyFont="1" applyFill="1" applyBorder="1" applyAlignment="1" applyProtection="1">
      <alignment horizontal="center" vertical="center"/>
      <protection hidden="1"/>
    </xf>
    <xf numFmtId="0" fontId="5" fillId="2" borderId="6" xfId="1" applyFont="1" applyFill="1" applyBorder="1" applyAlignment="1" applyProtection="1">
      <alignment horizontal="center" vertical="center"/>
      <protection hidden="1"/>
    </xf>
    <xf numFmtId="0" fontId="22" fillId="0" borderId="96" xfId="0" applyFont="1" applyBorder="1" applyAlignment="1" applyProtection="1">
      <alignment horizontal="center" vertical="center" shrinkToFit="1"/>
      <protection hidden="1"/>
    </xf>
    <xf numFmtId="0" fontId="10" fillId="2" borderId="7" xfId="0" applyFont="1" applyFill="1" applyBorder="1" applyAlignment="1" applyProtection="1">
      <alignment horizontal="center" vertical="center" wrapText="1"/>
      <protection hidden="1"/>
    </xf>
    <xf numFmtId="0" fontId="10" fillId="2" borderId="8" xfId="0" applyFont="1" applyFill="1" applyBorder="1" applyAlignment="1" applyProtection="1">
      <alignment horizontal="center" vertical="center" wrapText="1"/>
      <protection hidden="1"/>
    </xf>
    <xf numFmtId="0" fontId="10" fillId="2" borderId="9" xfId="0" applyFont="1" applyFill="1" applyBorder="1" applyAlignment="1" applyProtection="1">
      <alignment horizontal="center" vertical="center" wrapText="1"/>
      <protection hidden="1"/>
    </xf>
    <xf numFmtId="0" fontId="10" fillId="2" borderId="49" xfId="0" applyFont="1" applyFill="1" applyBorder="1" applyAlignment="1" applyProtection="1">
      <alignment horizontal="center" vertical="center" wrapText="1"/>
      <protection hidden="1"/>
    </xf>
    <xf numFmtId="0" fontId="10" fillId="2" borderId="0" xfId="0" applyFont="1" applyFill="1" applyAlignment="1" applyProtection="1">
      <alignment horizontal="center" vertical="center" wrapText="1"/>
      <protection hidden="1"/>
    </xf>
    <xf numFmtId="0" fontId="10" fillId="2" borderId="50" xfId="0" applyFont="1" applyFill="1" applyBorder="1" applyAlignment="1" applyProtection="1">
      <alignment horizontal="center" vertical="center" wrapText="1"/>
      <protection hidden="1"/>
    </xf>
    <xf numFmtId="0" fontId="10" fillId="2" borderId="15" xfId="0" applyFont="1" applyFill="1" applyBorder="1" applyAlignment="1" applyProtection="1">
      <alignment horizontal="center" vertical="center" wrapText="1"/>
      <protection hidden="1"/>
    </xf>
    <xf numFmtId="0" fontId="10" fillId="2" borderId="16" xfId="0" applyFont="1" applyFill="1" applyBorder="1" applyAlignment="1" applyProtection="1">
      <alignment horizontal="center" vertical="center" wrapText="1"/>
      <protection hidden="1"/>
    </xf>
    <xf numFmtId="0" fontId="10" fillId="2" borderId="17" xfId="0" applyFont="1" applyFill="1" applyBorder="1" applyAlignment="1" applyProtection="1">
      <alignment horizontal="center" vertical="center" wrapText="1"/>
      <protection hidden="1"/>
    </xf>
    <xf numFmtId="0" fontId="21" fillId="0" borderId="96" xfId="0" applyFont="1" applyBorder="1" applyAlignment="1" applyProtection="1">
      <alignment horizontal="center" vertical="center" shrinkToFit="1"/>
      <protection hidden="1"/>
    </xf>
  </cellXfs>
  <cellStyles count="3">
    <cellStyle name="Hyperlink" xfId="1" builtinId="8"/>
    <cellStyle name="Normal" xfId="0" builtinId="0"/>
    <cellStyle name="Note" xfId="2" builtinId="10"/>
  </cellStyles>
  <dxfs count="229">
    <dxf>
      <font>
        <color rgb="FF9C5700"/>
      </font>
      <fill>
        <patternFill>
          <bgColor rgb="FFFFEB9C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b/>
        <i val="0"/>
        <color rgb="FF3366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3366FF"/>
      </font>
    </dxf>
    <dxf>
      <font>
        <condense val="0"/>
        <extend val="0"/>
        <color auto="1"/>
      </font>
      <fill>
        <patternFill>
          <bgColor rgb="FFFFFF99"/>
        </patternFill>
      </fill>
    </dxf>
    <dxf>
      <font>
        <b val="0"/>
        <i val="0"/>
        <condense val="0"/>
        <extend val="0"/>
        <color auto="1"/>
      </font>
      <fill>
        <patternFill>
          <bgColor rgb="FFFFFF99"/>
        </patternFill>
      </fill>
    </dxf>
    <dxf>
      <font>
        <b val="0"/>
        <i val="0"/>
        <condense val="0"/>
        <extend val="0"/>
        <color auto="1"/>
      </font>
      <fill>
        <patternFill>
          <bgColor theme="8" tint="0.79998168889431442"/>
        </patternFill>
      </fill>
    </dxf>
    <dxf>
      <font>
        <b/>
        <i val="0"/>
        <condense val="0"/>
        <extend val="0"/>
        <color auto="1"/>
      </font>
      <fill>
        <patternFill>
          <bgColor theme="8" tint="0.79998168889431442"/>
        </patternFill>
      </fill>
    </dxf>
    <dxf>
      <font>
        <condense val="0"/>
        <extend val="0"/>
        <color auto="1"/>
      </font>
      <fill>
        <patternFill>
          <bgColor rgb="FFFFFF99"/>
        </patternFill>
      </fill>
    </dxf>
    <dxf>
      <font>
        <b val="0"/>
        <i val="0"/>
        <condense val="0"/>
        <extend val="0"/>
        <color auto="1"/>
      </font>
      <fill>
        <patternFill>
          <bgColor rgb="FFFFFF99"/>
        </patternFill>
      </fill>
    </dxf>
    <dxf>
      <font>
        <b val="0"/>
        <i val="0"/>
        <condense val="0"/>
        <extend val="0"/>
        <color auto="1"/>
      </font>
      <fill>
        <patternFill>
          <bgColor theme="8" tint="0.79998168889431442"/>
        </patternFill>
      </fill>
    </dxf>
    <dxf>
      <font>
        <b/>
        <i val="0"/>
        <condense val="0"/>
        <extend val="0"/>
        <color auto="1"/>
      </font>
      <fill>
        <patternFill>
          <bgColor theme="8" tint="0.79998168889431442"/>
        </patternFill>
      </fill>
    </dxf>
    <dxf>
      <font>
        <condense val="0"/>
        <extend val="0"/>
        <color auto="1"/>
      </font>
      <fill>
        <patternFill>
          <bgColor rgb="FFFFFF99"/>
        </patternFill>
      </fill>
    </dxf>
    <dxf>
      <font>
        <b val="0"/>
        <i val="0"/>
        <condense val="0"/>
        <extend val="0"/>
        <color auto="1"/>
      </font>
      <fill>
        <patternFill>
          <bgColor rgb="FFFFFF99"/>
        </patternFill>
      </fill>
    </dxf>
    <dxf>
      <font>
        <b val="0"/>
        <i val="0"/>
        <condense val="0"/>
        <extend val="0"/>
        <color auto="1"/>
      </font>
      <fill>
        <patternFill>
          <bgColor theme="8" tint="0.79998168889431442"/>
        </patternFill>
      </fill>
    </dxf>
    <dxf>
      <font>
        <b/>
        <i val="0"/>
        <condense val="0"/>
        <extend val="0"/>
        <color auto="1"/>
      </font>
      <fill>
        <patternFill>
          <bgColor theme="8" tint="0.79998168889431442"/>
        </patternFill>
      </fill>
    </dxf>
    <dxf>
      <font>
        <condense val="0"/>
        <extend val="0"/>
        <color auto="1"/>
      </font>
      <fill>
        <patternFill>
          <bgColor rgb="FFFFFF99"/>
        </patternFill>
      </fill>
    </dxf>
    <dxf>
      <font>
        <b val="0"/>
        <i val="0"/>
        <condense val="0"/>
        <extend val="0"/>
        <color auto="1"/>
      </font>
      <fill>
        <patternFill>
          <bgColor rgb="FFFFFF99"/>
        </patternFill>
      </fill>
    </dxf>
    <dxf>
      <font>
        <b val="0"/>
        <i val="0"/>
        <condense val="0"/>
        <extend val="0"/>
        <color auto="1"/>
      </font>
      <fill>
        <patternFill>
          <bgColor theme="8" tint="0.79998168889431442"/>
        </patternFill>
      </fill>
    </dxf>
    <dxf>
      <font>
        <b/>
        <i val="0"/>
        <condense val="0"/>
        <extend val="0"/>
        <color auto="1"/>
      </font>
      <fill>
        <patternFill>
          <bgColor theme="8" tint="0.79998168889431442"/>
        </patternFill>
      </fill>
    </dxf>
    <dxf>
      <font>
        <condense val="0"/>
        <extend val="0"/>
        <color auto="1"/>
      </font>
      <fill>
        <patternFill>
          <bgColor rgb="FFFFFF99"/>
        </patternFill>
      </fill>
    </dxf>
    <dxf>
      <font>
        <b val="0"/>
        <i val="0"/>
        <condense val="0"/>
        <extend val="0"/>
        <color auto="1"/>
      </font>
      <fill>
        <patternFill>
          <bgColor rgb="FFFFFF99"/>
        </patternFill>
      </fill>
    </dxf>
    <dxf>
      <font>
        <b val="0"/>
        <i val="0"/>
        <condense val="0"/>
        <extend val="0"/>
        <color auto="1"/>
      </font>
      <fill>
        <patternFill>
          <bgColor theme="8" tint="0.79998168889431442"/>
        </patternFill>
      </fill>
    </dxf>
    <dxf>
      <font>
        <b/>
        <i val="0"/>
        <condense val="0"/>
        <extend val="0"/>
        <color auto="1"/>
      </font>
      <fill>
        <patternFill>
          <bgColor theme="8" tint="0.79998168889431442"/>
        </patternFill>
      </fill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theme="7" tint="0.59996337778862885"/>
        </patternFill>
      </fill>
    </dxf>
    <dxf>
      <font>
        <b val="0"/>
        <i/>
        <color rgb="FF008080"/>
      </font>
    </dxf>
    <dxf>
      <font>
        <b val="0"/>
        <i/>
        <color rgb="FF008080"/>
      </font>
      <fill>
        <patternFill>
          <bgColor theme="7" tint="0.59996337778862885"/>
        </patternFill>
      </fill>
    </dxf>
    <dxf>
      <font>
        <b/>
        <i val="0"/>
        <color rgb="FF0000FF"/>
      </font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lor rgb="FF0000FF"/>
      </font>
      <fill>
        <patternFill>
          <bgColor theme="7" tint="0.59996337778862885"/>
        </patternFill>
      </fill>
    </dxf>
    <dxf>
      <font>
        <b val="0"/>
        <i/>
        <color rgb="FF008080"/>
      </font>
    </dxf>
    <dxf>
      <font>
        <b val="0"/>
        <i/>
        <color rgb="FF008080"/>
      </font>
      <fill>
        <patternFill>
          <bgColor theme="7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theme="7" tint="0.59996337778862885"/>
        </patternFill>
      </fill>
    </dxf>
    <dxf>
      <font>
        <b/>
        <i val="0"/>
        <color rgb="FF0000FF"/>
      </font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colors>
    <mruColors>
      <color rgb="FF3366FF"/>
      <color rgb="FFFFFF99"/>
      <color rgb="FF0000FF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svg"/><Relationship Id="rId21" Type="http://schemas.openxmlformats.org/officeDocument/2006/relationships/image" Target="../media/image21.png"/><Relationship Id="rId34" Type="http://schemas.openxmlformats.org/officeDocument/2006/relationships/image" Target="../media/image34.sv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7" Type="http://schemas.openxmlformats.org/officeDocument/2006/relationships/image" Target="../media/image7.png"/><Relationship Id="rId2" Type="http://schemas.openxmlformats.org/officeDocument/2006/relationships/image" Target="../media/image2.svg"/><Relationship Id="rId16" Type="http://schemas.openxmlformats.org/officeDocument/2006/relationships/image" Target="../media/image16.sv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svg"/><Relationship Id="rId32" Type="http://schemas.openxmlformats.org/officeDocument/2006/relationships/image" Target="../media/image32.sv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5" Type="http://schemas.openxmlformats.org/officeDocument/2006/relationships/image" Target="../media/image5.png"/><Relationship Id="rId61" Type="http://schemas.openxmlformats.org/officeDocument/2006/relationships/image" Target="../media/image61.jpeg"/><Relationship Id="rId19" Type="http://schemas.openxmlformats.org/officeDocument/2006/relationships/image" Target="../media/image19.png"/><Relationship Id="rId14" Type="http://schemas.openxmlformats.org/officeDocument/2006/relationships/image" Target="../media/image14.svg"/><Relationship Id="rId22" Type="http://schemas.openxmlformats.org/officeDocument/2006/relationships/image" Target="../media/image22.svg"/><Relationship Id="rId27" Type="http://schemas.openxmlformats.org/officeDocument/2006/relationships/image" Target="../media/image27.png"/><Relationship Id="rId30" Type="http://schemas.openxmlformats.org/officeDocument/2006/relationships/image" Target="../media/image30.svg"/><Relationship Id="rId35" Type="http://schemas.openxmlformats.org/officeDocument/2006/relationships/image" Target="../media/image35.pn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8" Type="http://schemas.openxmlformats.org/officeDocument/2006/relationships/image" Target="../media/image8.svg"/><Relationship Id="rId51" Type="http://schemas.openxmlformats.org/officeDocument/2006/relationships/image" Target="../media/image51.jpeg"/><Relationship Id="rId3" Type="http://schemas.openxmlformats.org/officeDocument/2006/relationships/image" Target="../media/image3.png"/><Relationship Id="rId12" Type="http://schemas.openxmlformats.org/officeDocument/2006/relationships/image" Target="../media/image12.sv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20" Type="http://schemas.openxmlformats.org/officeDocument/2006/relationships/image" Target="../media/image20.sv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svg"/><Relationship Id="rId36" Type="http://schemas.openxmlformats.org/officeDocument/2006/relationships/image" Target="../media/image36.pn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svg"/><Relationship Id="rId31" Type="http://schemas.openxmlformats.org/officeDocument/2006/relationships/image" Target="../media/image31.pn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4" Type="http://schemas.openxmlformats.org/officeDocument/2006/relationships/image" Target="../media/image4.sv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svg"/><Relationship Id="rId39" Type="http://schemas.openxmlformats.org/officeDocument/2006/relationships/image" Target="../media/image3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1266825</xdr:colOff>
      <xdr:row>13</xdr:row>
      <xdr:rowOff>21898</xdr:rowOff>
    </xdr:from>
    <xdr:to>
      <xdr:col>4</xdr:col>
      <xdr:colOff>1480185</xdr:colOff>
      <xdr:row>13</xdr:row>
      <xdr:rowOff>180013</xdr:rowOff>
    </xdr:to>
    <xdr:pic>
      <xdr:nvPicPr>
        <xdr:cNvPr id="40" name="Graphic 39">
          <a:extLst>
            <a:ext uri="{FF2B5EF4-FFF2-40B4-BE49-F238E27FC236}">
              <a16:creationId xmlns:a16="http://schemas.microsoft.com/office/drawing/2014/main" id="{F51A19F6-415C-428E-AE45-6B8444E8C5C6}"/>
            </a:ext>
            <a:ext uri="{147F2762-F138-4A5C-976F-8EAC2B608ADB}">
              <a16:predDERef xmlns:a16="http://schemas.microsoft.com/office/drawing/2014/main" pred="{2926FEA7-3DB8-456D-8E54-D792CCDBE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381375" y="2565073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1261204</xdr:colOff>
      <xdr:row>50</xdr:row>
      <xdr:rowOff>16863</xdr:rowOff>
    </xdr:from>
    <xdr:to>
      <xdr:col>4</xdr:col>
      <xdr:colOff>1476469</xdr:colOff>
      <xdr:row>50</xdr:row>
      <xdr:rowOff>176883</xdr:rowOff>
    </xdr:to>
    <xdr:pic>
      <xdr:nvPicPr>
        <xdr:cNvPr id="72" name="Graphic 71">
          <a:extLst>
            <a:ext uri="{FF2B5EF4-FFF2-40B4-BE49-F238E27FC236}">
              <a16:creationId xmlns:a16="http://schemas.microsoft.com/office/drawing/2014/main" id="{1B46314B-96F4-4815-F17C-4CFD773C5BEE}"/>
            </a:ext>
            <a:ext uri="{147F2762-F138-4A5C-976F-8EAC2B608ADB}">
              <a16:predDERef xmlns:a16="http://schemas.microsoft.com/office/drawing/2014/main" pred="{BB8E344E-9E93-4899-B7AC-C30170AE0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3375754" y="9608538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1271194</xdr:colOff>
      <xdr:row>9</xdr:row>
      <xdr:rowOff>21138</xdr:rowOff>
    </xdr:from>
    <xdr:to>
      <xdr:col>4</xdr:col>
      <xdr:colOff>1482649</xdr:colOff>
      <xdr:row>9</xdr:row>
      <xdr:rowOff>179253</xdr:rowOff>
    </xdr:to>
    <xdr:pic>
      <xdr:nvPicPr>
        <xdr:cNvPr id="80" name="Graphic 79">
          <a:extLst>
            <a:ext uri="{FF2B5EF4-FFF2-40B4-BE49-F238E27FC236}">
              <a16:creationId xmlns:a16="http://schemas.microsoft.com/office/drawing/2014/main" id="{DD2796C7-63CF-A040-CAC6-694AE2C956E4}"/>
            </a:ext>
            <a:ext uri="{147F2762-F138-4A5C-976F-8EAC2B608ADB}">
              <a16:predDERef xmlns:a16="http://schemas.microsoft.com/office/drawing/2014/main" pred="{D0B62B00-1472-E781-59E5-0A8BFBC2F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3385744" y="1802313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1270729</xdr:colOff>
      <xdr:row>24</xdr:row>
      <xdr:rowOff>21138</xdr:rowOff>
    </xdr:from>
    <xdr:to>
      <xdr:col>4</xdr:col>
      <xdr:colOff>1482184</xdr:colOff>
      <xdr:row>24</xdr:row>
      <xdr:rowOff>179253</xdr:rowOff>
    </xdr:to>
    <xdr:pic>
      <xdr:nvPicPr>
        <xdr:cNvPr id="116" name="Graphic 115">
          <a:extLst>
            <a:ext uri="{FF2B5EF4-FFF2-40B4-BE49-F238E27FC236}">
              <a16:creationId xmlns:a16="http://schemas.microsoft.com/office/drawing/2014/main" id="{40B6E916-F412-551A-9B8E-659085D4E61F}"/>
            </a:ext>
            <a:ext uri="{147F2762-F138-4A5C-976F-8EAC2B608ADB}">
              <a16:predDERef xmlns:a16="http://schemas.microsoft.com/office/drawing/2014/main" pred="{DD2796C7-63CF-A040-CAC6-694AE2C95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385279" y="4659813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1271194</xdr:colOff>
      <xdr:row>18</xdr:row>
      <xdr:rowOff>21138</xdr:rowOff>
    </xdr:from>
    <xdr:to>
      <xdr:col>4</xdr:col>
      <xdr:colOff>1482649</xdr:colOff>
      <xdr:row>18</xdr:row>
      <xdr:rowOff>179253</xdr:rowOff>
    </xdr:to>
    <xdr:pic>
      <xdr:nvPicPr>
        <xdr:cNvPr id="117" name="Graphic 116">
          <a:extLst>
            <a:ext uri="{FF2B5EF4-FFF2-40B4-BE49-F238E27FC236}">
              <a16:creationId xmlns:a16="http://schemas.microsoft.com/office/drawing/2014/main" id="{1B863B75-27AB-03EF-340E-38758835B422}"/>
            </a:ext>
            <a:ext uri="{147F2762-F138-4A5C-976F-8EAC2B608ADB}">
              <a16:predDERef xmlns:a16="http://schemas.microsoft.com/office/drawing/2014/main" pred="{40B6E916-F412-551A-9B8E-659085D4E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3385744" y="3516813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1271350</xdr:colOff>
      <xdr:row>22</xdr:row>
      <xdr:rowOff>23640</xdr:rowOff>
    </xdr:from>
    <xdr:to>
      <xdr:col>4</xdr:col>
      <xdr:colOff>1482805</xdr:colOff>
      <xdr:row>22</xdr:row>
      <xdr:rowOff>181755</xdr:rowOff>
    </xdr:to>
    <xdr:pic>
      <xdr:nvPicPr>
        <xdr:cNvPr id="122" name="Graphic 121">
          <a:extLst>
            <a:ext uri="{FF2B5EF4-FFF2-40B4-BE49-F238E27FC236}">
              <a16:creationId xmlns:a16="http://schemas.microsoft.com/office/drawing/2014/main" id="{F9F7A320-9819-4817-B1BF-EDB370E4FCEE}"/>
            </a:ext>
            <a:ext uri="{147F2762-F138-4A5C-976F-8EAC2B608ADB}">
              <a16:predDERef xmlns:a16="http://schemas.microsoft.com/office/drawing/2014/main" pred="{0BA84969-ED9E-44E1-B99E-A09421B45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385900" y="4281315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20948</xdr:colOff>
      <xdr:row>36</xdr:row>
      <xdr:rowOff>14115</xdr:rowOff>
    </xdr:from>
    <xdr:to>
      <xdr:col>7</xdr:col>
      <xdr:colOff>230498</xdr:colOff>
      <xdr:row>36</xdr:row>
      <xdr:rowOff>162705</xdr:rowOff>
    </xdr:to>
    <xdr:pic>
      <xdr:nvPicPr>
        <xdr:cNvPr id="123" name="Graphic 122">
          <a:extLst>
            <a:ext uri="{FF2B5EF4-FFF2-40B4-BE49-F238E27FC236}">
              <a16:creationId xmlns:a16="http://schemas.microsoft.com/office/drawing/2014/main" id="{4CAA2867-7516-4884-9806-DFE9C30E4882}"/>
            </a:ext>
            <a:ext uri="{147F2762-F138-4A5C-976F-8EAC2B608ADB}">
              <a16:predDERef xmlns:a16="http://schemas.microsoft.com/office/drawing/2014/main" pred="{F9F7A320-9819-4817-B1BF-EDB370E4F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4"/>
            </a:ext>
          </a:extLst>
        </a:blip>
        <a:stretch>
          <a:fillRect/>
        </a:stretch>
      </xdr:blipFill>
      <xdr:spPr>
        <a:xfrm>
          <a:off x="4211948" y="6938790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23575</xdr:colOff>
      <xdr:row>35</xdr:row>
      <xdr:rowOff>23751</xdr:rowOff>
    </xdr:from>
    <xdr:to>
      <xdr:col>7</xdr:col>
      <xdr:colOff>233125</xdr:colOff>
      <xdr:row>35</xdr:row>
      <xdr:rowOff>181866</xdr:rowOff>
    </xdr:to>
    <xdr:pic>
      <xdr:nvPicPr>
        <xdr:cNvPr id="124" name="Graphic 123">
          <a:extLst>
            <a:ext uri="{FF2B5EF4-FFF2-40B4-BE49-F238E27FC236}">
              <a16:creationId xmlns:a16="http://schemas.microsoft.com/office/drawing/2014/main" id="{2ECC2E3A-3621-4470-849A-445866F91979}"/>
            </a:ext>
            <a:ext uri="{147F2762-F138-4A5C-976F-8EAC2B608ADB}">
              <a16:predDERef xmlns:a16="http://schemas.microsoft.com/office/drawing/2014/main" pred="{4CAA2867-7516-4884-9806-DFE9C30E4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6"/>
            </a:ext>
          </a:extLst>
        </a:blip>
        <a:stretch>
          <a:fillRect/>
        </a:stretch>
      </xdr:blipFill>
      <xdr:spPr>
        <a:xfrm>
          <a:off x="4214575" y="6757926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20948</xdr:colOff>
      <xdr:row>27</xdr:row>
      <xdr:rowOff>23751</xdr:rowOff>
    </xdr:from>
    <xdr:to>
      <xdr:col>7</xdr:col>
      <xdr:colOff>230498</xdr:colOff>
      <xdr:row>27</xdr:row>
      <xdr:rowOff>181866</xdr:rowOff>
    </xdr:to>
    <xdr:pic>
      <xdr:nvPicPr>
        <xdr:cNvPr id="125" name="Graphic 124">
          <a:extLst>
            <a:ext uri="{FF2B5EF4-FFF2-40B4-BE49-F238E27FC236}">
              <a16:creationId xmlns:a16="http://schemas.microsoft.com/office/drawing/2014/main" id="{22861624-4BEA-4E9A-ABFA-5D5439CE4101}"/>
            </a:ext>
            <a:ext uri="{147F2762-F138-4A5C-976F-8EAC2B608ADB}">
              <a16:predDERef xmlns:a16="http://schemas.microsoft.com/office/drawing/2014/main" pred="{2ECC2E3A-3621-4470-849A-445866F91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4211948" y="5233926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1270885</xdr:colOff>
      <xdr:row>15</xdr:row>
      <xdr:rowOff>14335</xdr:rowOff>
    </xdr:from>
    <xdr:to>
      <xdr:col>4</xdr:col>
      <xdr:colOff>1482340</xdr:colOff>
      <xdr:row>15</xdr:row>
      <xdr:rowOff>174355</xdr:rowOff>
    </xdr:to>
    <xdr:pic>
      <xdr:nvPicPr>
        <xdr:cNvPr id="126" name="Graphic 125">
          <a:extLst>
            <a:ext uri="{FF2B5EF4-FFF2-40B4-BE49-F238E27FC236}">
              <a16:creationId xmlns:a16="http://schemas.microsoft.com/office/drawing/2014/main" id="{5C5EBB62-A95E-43F4-9140-2603EC615986}"/>
            </a:ext>
            <a:ext uri="{147F2762-F138-4A5C-976F-8EAC2B608ADB}">
              <a16:predDERef xmlns:a16="http://schemas.microsoft.com/office/drawing/2014/main" pred="{22861624-4BEA-4E9A-ABFA-5D5439CE4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0"/>
            </a:ext>
          </a:extLst>
        </a:blip>
        <a:stretch>
          <a:fillRect/>
        </a:stretch>
      </xdr:blipFill>
      <xdr:spPr>
        <a:xfrm>
          <a:off x="3385435" y="2938510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20948</xdr:colOff>
      <xdr:row>16</xdr:row>
      <xdr:rowOff>4810</xdr:rowOff>
    </xdr:from>
    <xdr:to>
      <xdr:col>7</xdr:col>
      <xdr:colOff>230498</xdr:colOff>
      <xdr:row>16</xdr:row>
      <xdr:rowOff>155305</xdr:rowOff>
    </xdr:to>
    <xdr:pic>
      <xdr:nvPicPr>
        <xdr:cNvPr id="127" name="Graphic 126">
          <a:extLst>
            <a:ext uri="{FF2B5EF4-FFF2-40B4-BE49-F238E27FC236}">
              <a16:creationId xmlns:a16="http://schemas.microsoft.com/office/drawing/2014/main" id="{3B7BDB38-DF6E-43BF-86FB-6A9B230F72ED}"/>
            </a:ext>
            <a:ext uri="{147F2762-F138-4A5C-976F-8EAC2B608ADB}">
              <a16:predDERef xmlns:a16="http://schemas.microsoft.com/office/drawing/2014/main" pred="{5C5EBB62-A95E-43F4-9140-2603EC615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2"/>
            </a:ext>
          </a:extLst>
        </a:blip>
        <a:stretch>
          <a:fillRect/>
        </a:stretch>
      </xdr:blipFill>
      <xdr:spPr>
        <a:xfrm>
          <a:off x="4211948" y="3119485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1270885</xdr:colOff>
      <xdr:row>19</xdr:row>
      <xdr:rowOff>14444</xdr:rowOff>
    </xdr:from>
    <xdr:to>
      <xdr:col>4</xdr:col>
      <xdr:colOff>1482340</xdr:colOff>
      <xdr:row>19</xdr:row>
      <xdr:rowOff>174464</xdr:rowOff>
    </xdr:to>
    <xdr:pic>
      <xdr:nvPicPr>
        <xdr:cNvPr id="128" name="Graphic 127">
          <a:extLst>
            <a:ext uri="{FF2B5EF4-FFF2-40B4-BE49-F238E27FC236}">
              <a16:creationId xmlns:a16="http://schemas.microsoft.com/office/drawing/2014/main" id="{17B10BFC-AE3E-46EC-A0E7-FB856C1C432E}"/>
            </a:ext>
            <a:ext uri="{147F2762-F138-4A5C-976F-8EAC2B608ADB}">
              <a16:predDERef xmlns:a16="http://schemas.microsoft.com/office/drawing/2014/main" pred="{3B7BDB38-DF6E-43BF-86FB-6A9B230F7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4"/>
            </a:ext>
          </a:extLst>
        </a:blip>
        <a:stretch>
          <a:fillRect/>
        </a:stretch>
      </xdr:blipFill>
      <xdr:spPr>
        <a:xfrm>
          <a:off x="3385435" y="3700619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1270885</xdr:colOff>
      <xdr:row>21</xdr:row>
      <xdr:rowOff>14553</xdr:rowOff>
    </xdr:from>
    <xdr:to>
      <xdr:col>4</xdr:col>
      <xdr:colOff>1482340</xdr:colOff>
      <xdr:row>21</xdr:row>
      <xdr:rowOff>174573</xdr:rowOff>
    </xdr:to>
    <xdr:pic>
      <xdr:nvPicPr>
        <xdr:cNvPr id="130" name="Graphic 129">
          <a:extLst>
            <a:ext uri="{FF2B5EF4-FFF2-40B4-BE49-F238E27FC236}">
              <a16:creationId xmlns:a16="http://schemas.microsoft.com/office/drawing/2014/main" id="{7B79FBDE-9EAD-4A8D-8194-73FC1A89727B}"/>
            </a:ext>
            <a:ext uri="{147F2762-F138-4A5C-976F-8EAC2B608ADB}">
              <a16:predDERef xmlns:a16="http://schemas.microsoft.com/office/drawing/2014/main" pred="{502A7888-383C-461F-ABE6-D5FFD2A3B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6"/>
            </a:ext>
          </a:extLst>
        </a:blip>
        <a:stretch>
          <a:fillRect/>
        </a:stretch>
      </xdr:blipFill>
      <xdr:spPr>
        <a:xfrm>
          <a:off x="3385435" y="4081728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36910</xdr:colOff>
      <xdr:row>13</xdr:row>
      <xdr:rowOff>14663</xdr:rowOff>
    </xdr:from>
    <xdr:to>
      <xdr:col>7</xdr:col>
      <xdr:colOff>189310</xdr:colOff>
      <xdr:row>13</xdr:row>
      <xdr:rowOff>174683</xdr:rowOff>
    </xdr:to>
    <xdr:pic>
      <xdr:nvPicPr>
        <xdr:cNvPr id="132" name="Graphic 131">
          <a:extLst>
            <a:ext uri="{FF2B5EF4-FFF2-40B4-BE49-F238E27FC236}">
              <a16:creationId xmlns:a16="http://schemas.microsoft.com/office/drawing/2014/main" id="{AC5ABD82-A79E-43D6-A08A-526028B33D27}"/>
            </a:ext>
            <a:ext uri="{147F2762-F138-4A5C-976F-8EAC2B608ADB}">
              <a16:predDERef xmlns:a16="http://schemas.microsoft.com/office/drawing/2014/main" pred="{706AC6D1-E473-49A0-8928-3B66FFDDC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4227910" y="2557838"/>
          <a:ext cx="152400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1270885</xdr:colOff>
      <xdr:row>42</xdr:row>
      <xdr:rowOff>14773</xdr:rowOff>
    </xdr:from>
    <xdr:to>
      <xdr:col>4</xdr:col>
      <xdr:colOff>1482340</xdr:colOff>
      <xdr:row>42</xdr:row>
      <xdr:rowOff>174793</xdr:rowOff>
    </xdr:to>
    <xdr:pic>
      <xdr:nvPicPr>
        <xdr:cNvPr id="134" name="Graphic 133">
          <a:extLst>
            <a:ext uri="{FF2B5EF4-FFF2-40B4-BE49-F238E27FC236}">
              <a16:creationId xmlns:a16="http://schemas.microsoft.com/office/drawing/2014/main" id="{D3B1F9D8-1FB9-4CCC-AB18-8FC380654943}"/>
            </a:ext>
            <a:ext uri="{147F2762-F138-4A5C-976F-8EAC2B608ADB}">
              <a16:predDERef xmlns:a16="http://schemas.microsoft.com/office/drawing/2014/main" pred="{AC5ABD82-A79E-43D6-A08A-526028B33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0"/>
            </a:ext>
          </a:extLst>
        </a:blip>
        <a:stretch>
          <a:fillRect/>
        </a:stretch>
      </xdr:blipFill>
      <xdr:spPr>
        <a:xfrm>
          <a:off x="3385435" y="8082448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23110</xdr:colOff>
      <xdr:row>76</xdr:row>
      <xdr:rowOff>14882</xdr:rowOff>
    </xdr:from>
    <xdr:to>
      <xdr:col>7</xdr:col>
      <xdr:colOff>232660</xdr:colOff>
      <xdr:row>76</xdr:row>
      <xdr:rowOff>174902</xdr:rowOff>
    </xdr:to>
    <xdr:pic>
      <xdr:nvPicPr>
        <xdr:cNvPr id="136" name="Graphic 135">
          <a:extLst>
            <a:ext uri="{FF2B5EF4-FFF2-40B4-BE49-F238E27FC236}">
              <a16:creationId xmlns:a16="http://schemas.microsoft.com/office/drawing/2014/main" id="{4A4F891E-AB72-43C4-A284-70FCE9C97759}"/>
            </a:ext>
            <a:ext uri="{147F2762-F138-4A5C-976F-8EAC2B608ADB}">
              <a16:predDERef xmlns:a16="http://schemas.microsoft.com/office/drawing/2014/main" pred="{D3B1F9D8-1FB9-4CCC-AB18-8FC380654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2"/>
            </a:ext>
          </a:extLst>
        </a:blip>
        <a:stretch>
          <a:fillRect/>
        </a:stretch>
      </xdr:blipFill>
      <xdr:spPr>
        <a:xfrm>
          <a:off x="4214110" y="14559557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1270885</xdr:colOff>
      <xdr:row>12</xdr:row>
      <xdr:rowOff>14991</xdr:rowOff>
    </xdr:from>
    <xdr:to>
      <xdr:col>4</xdr:col>
      <xdr:colOff>1482340</xdr:colOff>
      <xdr:row>12</xdr:row>
      <xdr:rowOff>175011</xdr:rowOff>
    </xdr:to>
    <xdr:pic>
      <xdr:nvPicPr>
        <xdr:cNvPr id="138" name="Graphic 137">
          <a:extLst>
            <a:ext uri="{FF2B5EF4-FFF2-40B4-BE49-F238E27FC236}">
              <a16:creationId xmlns:a16="http://schemas.microsoft.com/office/drawing/2014/main" id="{319DA717-6C51-4F4D-BFFA-1D38C87BFD71}"/>
            </a:ext>
            <a:ext uri="{147F2762-F138-4A5C-976F-8EAC2B608ADB}">
              <a16:predDERef xmlns:a16="http://schemas.microsoft.com/office/drawing/2014/main" pred="{F71F1484-F61B-4786-8758-E11CDA62E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4"/>
            </a:ext>
          </a:extLst>
        </a:blip>
        <a:stretch>
          <a:fillRect/>
        </a:stretch>
      </xdr:blipFill>
      <xdr:spPr>
        <a:xfrm>
          <a:off x="3385435" y="2367666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7949</xdr:colOff>
      <xdr:row>32</xdr:row>
      <xdr:rowOff>19624</xdr:rowOff>
    </xdr:from>
    <xdr:to>
      <xdr:col>7</xdr:col>
      <xdr:colOff>221309</xdr:colOff>
      <xdr:row>32</xdr:row>
      <xdr:rowOff>179644</xdr:rowOff>
    </xdr:to>
    <xdr:pic>
      <xdr:nvPicPr>
        <xdr:cNvPr id="144" name="Graphic 143">
          <a:extLst>
            <a:ext uri="{FF2B5EF4-FFF2-40B4-BE49-F238E27FC236}">
              <a16:creationId xmlns:a16="http://schemas.microsoft.com/office/drawing/2014/main" id="{632F5E0B-950B-4A04-BA6C-0436A596B91C}"/>
            </a:ext>
            <a:ext uri="{147F2762-F138-4A5C-976F-8EAC2B608ADB}">
              <a16:predDERef xmlns:a16="http://schemas.microsoft.com/office/drawing/2014/main" pred="{84038F55-C665-4EDF-8A5B-1434D1A8C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198949" y="6182299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1256927</xdr:colOff>
      <xdr:row>27</xdr:row>
      <xdr:rowOff>14331</xdr:rowOff>
    </xdr:from>
    <xdr:to>
      <xdr:col>4</xdr:col>
      <xdr:colOff>1473095</xdr:colOff>
      <xdr:row>27</xdr:row>
      <xdr:rowOff>174351</xdr:rowOff>
    </xdr:to>
    <xdr:pic>
      <xdr:nvPicPr>
        <xdr:cNvPr id="146" name="Graphic 145">
          <a:extLst>
            <a:ext uri="{FF2B5EF4-FFF2-40B4-BE49-F238E27FC236}">
              <a16:creationId xmlns:a16="http://schemas.microsoft.com/office/drawing/2014/main" id="{F796A2AB-26EF-4897-93AC-402DBEAD10B1}"/>
            </a:ext>
            <a:ext uri="{147F2762-F138-4A5C-976F-8EAC2B608ADB}">
              <a16:predDERef xmlns:a16="http://schemas.microsoft.com/office/drawing/2014/main" pred="{4071C906-A0E7-4CE9-B3BF-5C7E6CF8E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3371477" y="5224506"/>
          <a:ext cx="208548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1265830</xdr:colOff>
      <xdr:row>36</xdr:row>
      <xdr:rowOff>23355</xdr:rowOff>
    </xdr:from>
    <xdr:to>
      <xdr:col>4</xdr:col>
      <xdr:colOff>1479190</xdr:colOff>
      <xdr:row>36</xdr:row>
      <xdr:rowOff>181470</xdr:rowOff>
    </xdr:to>
    <xdr:pic>
      <xdr:nvPicPr>
        <xdr:cNvPr id="147" name="Graphic 146">
          <a:extLst>
            <a:ext uri="{FF2B5EF4-FFF2-40B4-BE49-F238E27FC236}">
              <a16:creationId xmlns:a16="http://schemas.microsoft.com/office/drawing/2014/main" id="{7B11A404-E79B-4E70-A731-103B739D09D1}"/>
            </a:ext>
            <a:ext uri="{147F2762-F138-4A5C-976F-8EAC2B608ADB}">
              <a16:predDERef xmlns:a16="http://schemas.microsoft.com/office/drawing/2014/main" pred="{F796A2AB-26EF-4897-93AC-402DBEAD1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3380380" y="6948030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1267755</xdr:colOff>
      <xdr:row>48</xdr:row>
      <xdr:rowOff>23791</xdr:rowOff>
    </xdr:from>
    <xdr:to>
      <xdr:col>4</xdr:col>
      <xdr:colOff>1481115</xdr:colOff>
      <xdr:row>48</xdr:row>
      <xdr:rowOff>181906</xdr:rowOff>
    </xdr:to>
    <xdr:pic>
      <xdr:nvPicPr>
        <xdr:cNvPr id="148" name="Graphic 147">
          <a:extLst>
            <a:ext uri="{FF2B5EF4-FFF2-40B4-BE49-F238E27FC236}">
              <a16:creationId xmlns:a16="http://schemas.microsoft.com/office/drawing/2014/main" id="{24837278-93DD-4EE9-B1B4-8AA3B6709C88}"/>
            </a:ext>
            <a:ext uri="{147F2762-F138-4A5C-976F-8EAC2B608ADB}">
              <a16:predDERef xmlns:a16="http://schemas.microsoft.com/office/drawing/2014/main" pred="{7B11A404-E79B-4E70-A731-103B739D0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382305" y="9234466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18055</xdr:colOff>
      <xdr:row>43</xdr:row>
      <xdr:rowOff>18058</xdr:rowOff>
    </xdr:from>
    <xdr:to>
      <xdr:col>7</xdr:col>
      <xdr:colOff>227605</xdr:colOff>
      <xdr:row>43</xdr:row>
      <xdr:rowOff>178078</xdr:rowOff>
    </xdr:to>
    <xdr:pic>
      <xdr:nvPicPr>
        <xdr:cNvPr id="149" name="Graphic 148">
          <a:extLst>
            <a:ext uri="{FF2B5EF4-FFF2-40B4-BE49-F238E27FC236}">
              <a16:creationId xmlns:a16="http://schemas.microsoft.com/office/drawing/2014/main" id="{F4C67D1C-DBC8-48F3-AEB4-717369EC7ADB}"/>
            </a:ext>
            <a:ext uri="{147F2762-F138-4A5C-976F-8EAC2B608ADB}">
              <a16:predDERef xmlns:a16="http://schemas.microsoft.com/office/drawing/2014/main" pred="{24837278-93DD-4EE9-B1B4-8AA3B6709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4209055" y="8276233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1262441</xdr:colOff>
      <xdr:row>47</xdr:row>
      <xdr:rowOff>19170</xdr:rowOff>
    </xdr:from>
    <xdr:to>
      <xdr:col>4</xdr:col>
      <xdr:colOff>1475801</xdr:colOff>
      <xdr:row>47</xdr:row>
      <xdr:rowOff>179190</xdr:rowOff>
    </xdr:to>
    <xdr:pic>
      <xdr:nvPicPr>
        <xdr:cNvPr id="154" name="Graphic 153">
          <a:extLst>
            <a:ext uri="{FF2B5EF4-FFF2-40B4-BE49-F238E27FC236}">
              <a16:creationId xmlns:a16="http://schemas.microsoft.com/office/drawing/2014/main" id="{36A088A0-E9DE-4E2B-820A-4ED4CEF4983C}"/>
            </a:ext>
            <a:ext uri="{147F2762-F138-4A5C-976F-8EAC2B608ADB}">
              <a16:predDERef xmlns:a16="http://schemas.microsoft.com/office/drawing/2014/main" pred="{8E1EE9CC-3A5B-4BC2-B815-21BA51E9A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376991" y="9039345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1272848</xdr:colOff>
      <xdr:row>11</xdr:row>
      <xdr:rowOff>18952</xdr:rowOff>
    </xdr:from>
    <xdr:to>
      <xdr:col>4</xdr:col>
      <xdr:colOff>1482398</xdr:colOff>
      <xdr:row>11</xdr:row>
      <xdr:rowOff>178972</xdr:rowOff>
    </xdr:to>
    <xdr:pic>
      <xdr:nvPicPr>
        <xdr:cNvPr id="155" name="Graphic 154">
          <a:extLst>
            <a:ext uri="{FF2B5EF4-FFF2-40B4-BE49-F238E27FC236}">
              <a16:creationId xmlns:a16="http://schemas.microsoft.com/office/drawing/2014/main" id="{C6FF0E20-6461-4635-9D83-B6A8D8CDB869}"/>
            </a:ext>
            <a:ext uri="{147F2762-F138-4A5C-976F-8EAC2B608ADB}">
              <a16:predDERef xmlns:a16="http://schemas.microsoft.com/office/drawing/2014/main" pred="{36A088A0-E9DE-4E2B-820A-4ED4CEF49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4"/>
            </a:ext>
          </a:extLst>
        </a:blip>
        <a:stretch>
          <a:fillRect/>
        </a:stretch>
      </xdr:blipFill>
      <xdr:spPr>
        <a:xfrm>
          <a:off x="3387398" y="2181127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18055</xdr:colOff>
      <xdr:row>12</xdr:row>
      <xdr:rowOff>9471</xdr:rowOff>
    </xdr:from>
    <xdr:to>
      <xdr:col>7</xdr:col>
      <xdr:colOff>227605</xdr:colOff>
      <xdr:row>12</xdr:row>
      <xdr:rowOff>158061</xdr:rowOff>
    </xdr:to>
    <xdr:pic>
      <xdr:nvPicPr>
        <xdr:cNvPr id="156" name="Graphic 155">
          <a:extLst>
            <a:ext uri="{FF2B5EF4-FFF2-40B4-BE49-F238E27FC236}">
              <a16:creationId xmlns:a16="http://schemas.microsoft.com/office/drawing/2014/main" id="{1D2DE972-42C3-4B35-9D9B-D44D3222DCB2}"/>
            </a:ext>
            <a:ext uri="{147F2762-F138-4A5C-976F-8EAC2B608ADB}">
              <a16:predDERef xmlns:a16="http://schemas.microsoft.com/office/drawing/2014/main" pred="{C6FF0E20-6461-4635-9D83-B6A8D8CDB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6"/>
            </a:ext>
          </a:extLst>
        </a:blip>
        <a:stretch>
          <a:fillRect/>
        </a:stretch>
      </xdr:blipFill>
      <xdr:spPr>
        <a:xfrm>
          <a:off x="4209055" y="2362146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1262441</xdr:colOff>
      <xdr:row>73</xdr:row>
      <xdr:rowOff>21612</xdr:rowOff>
    </xdr:from>
    <xdr:to>
      <xdr:col>4</xdr:col>
      <xdr:colOff>1475801</xdr:colOff>
      <xdr:row>73</xdr:row>
      <xdr:rowOff>179727</xdr:rowOff>
    </xdr:to>
    <xdr:pic>
      <xdr:nvPicPr>
        <xdr:cNvPr id="157" name="Graphic 156">
          <a:extLst>
            <a:ext uri="{FF2B5EF4-FFF2-40B4-BE49-F238E27FC236}">
              <a16:creationId xmlns:a16="http://schemas.microsoft.com/office/drawing/2014/main" id="{45B79A5B-7180-4EF1-A10A-F4558F6895B9}"/>
            </a:ext>
            <a:ext uri="{147F2762-F138-4A5C-976F-8EAC2B608ADB}">
              <a16:predDERef xmlns:a16="http://schemas.microsoft.com/office/drawing/2014/main" pred="{1D2DE972-42C3-4B35-9D9B-D44D3222D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3376991" y="13994787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1267835</xdr:colOff>
      <xdr:row>38</xdr:row>
      <xdr:rowOff>16709</xdr:rowOff>
    </xdr:from>
    <xdr:to>
      <xdr:col>4</xdr:col>
      <xdr:colOff>1481195</xdr:colOff>
      <xdr:row>38</xdr:row>
      <xdr:rowOff>176729</xdr:rowOff>
    </xdr:to>
    <xdr:pic>
      <xdr:nvPicPr>
        <xdr:cNvPr id="158" name="Graphic 157">
          <a:extLst>
            <a:ext uri="{FF2B5EF4-FFF2-40B4-BE49-F238E27FC236}">
              <a16:creationId xmlns:a16="http://schemas.microsoft.com/office/drawing/2014/main" id="{99219DA7-2B42-47C5-A117-23215AE09188}"/>
            </a:ext>
            <a:ext uri="{147F2762-F138-4A5C-976F-8EAC2B608ADB}">
              <a16:predDERef xmlns:a16="http://schemas.microsoft.com/office/drawing/2014/main" pred="{45B79A5B-7180-4EF1-A10A-F4558F689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0"/>
            </a:ext>
          </a:extLst>
        </a:blip>
        <a:stretch>
          <a:fillRect/>
        </a:stretch>
      </xdr:blipFill>
      <xdr:spPr>
        <a:xfrm>
          <a:off x="3382385" y="7322384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14666</xdr:colOff>
      <xdr:row>41</xdr:row>
      <xdr:rowOff>9865</xdr:rowOff>
    </xdr:from>
    <xdr:to>
      <xdr:col>7</xdr:col>
      <xdr:colOff>224216</xdr:colOff>
      <xdr:row>41</xdr:row>
      <xdr:rowOff>158455</xdr:rowOff>
    </xdr:to>
    <xdr:pic>
      <xdr:nvPicPr>
        <xdr:cNvPr id="159" name="Graphic 158">
          <a:extLst>
            <a:ext uri="{FF2B5EF4-FFF2-40B4-BE49-F238E27FC236}">
              <a16:creationId xmlns:a16="http://schemas.microsoft.com/office/drawing/2014/main" id="{34E4060E-64BF-4420-92E8-55ED4FDE1F2C}"/>
            </a:ext>
            <a:ext uri="{147F2762-F138-4A5C-976F-8EAC2B608ADB}">
              <a16:predDERef xmlns:a16="http://schemas.microsoft.com/office/drawing/2014/main" pred="{99219DA7-2B42-47C5-A117-23215AE09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2"/>
            </a:ext>
          </a:extLst>
        </a:blip>
        <a:stretch>
          <a:fillRect/>
        </a:stretch>
      </xdr:blipFill>
      <xdr:spPr>
        <a:xfrm>
          <a:off x="4205666" y="7887040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1261976</xdr:colOff>
      <xdr:row>43</xdr:row>
      <xdr:rowOff>21722</xdr:rowOff>
    </xdr:from>
    <xdr:to>
      <xdr:col>4</xdr:col>
      <xdr:colOff>1477241</xdr:colOff>
      <xdr:row>43</xdr:row>
      <xdr:rowOff>179837</xdr:rowOff>
    </xdr:to>
    <xdr:pic>
      <xdr:nvPicPr>
        <xdr:cNvPr id="160" name="Graphic 159">
          <a:extLst>
            <a:ext uri="{FF2B5EF4-FFF2-40B4-BE49-F238E27FC236}">
              <a16:creationId xmlns:a16="http://schemas.microsoft.com/office/drawing/2014/main" id="{E34D46EF-A7A1-49C2-8271-6B46C1F01729}"/>
            </a:ext>
            <a:ext uri="{147F2762-F138-4A5C-976F-8EAC2B608ADB}">
              <a16:predDERef xmlns:a16="http://schemas.microsoft.com/office/drawing/2014/main" pred="{34E4060E-64BF-4420-92E8-55ED4FDE1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4"/>
            </a:ext>
          </a:extLst>
        </a:blip>
        <a:stretch>
          <a:fillRect/>
        </a:stretch>
      </xdr:blipFill>
      <xdr:spPr>
        <a:xfrm>
          <a:off x="3376526" y="8279897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1252916</xdr:colOff>
      <xdr:row>44</xdr:row>
      <xdr:rowOff>21503</xdr:rowOff>
    </xdr:from>
    <xdr:to>
      <xdr:col>4</xdr:col>
      <xdr:colOff>1470086</xdr:colOff>
      <xdr:row>44</xdr:row>
      <xdr:rowOff>179618</xdr:rowOff>
    </xdr:to>
    <xdr:pic>
      <xdr:nvPicPr>
        <xdr:cNvPr id="162" name="Graphic 161">
          <a:extLst>
            <a:ext uri="{FF2B5EF4-FFF2-40B4-BE49-F238E27FC236}">
              <a16:creationId xmlns:a16="http://schemas.microsoft.com/office/drawing/2014/main" id="{CE5C2639-EABA-4A03-8A6C-AF7B87EEBBC4}"/>
            </a:ext>
            <a:ext uri="{147F2762-F138-4A5C-976F-8EAC2B608ADB}">
              <a16:predDERef xmlns:a16="http://schemas.microsoft.com/office/drawing/2014/main" pred="{A9348A8D-2583-4F32-A4EA-9125C4284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6"/>
            </a:ext>
          </a:extLst>
        </a:blip>
        <a:stretch>
          <a:fillRect/>
        </a:stretch>
      </xdr:blipFill>
      <xdr:spPr>
        <a:xfrm>
          <a:off x="3367466" y="8470178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1302426</xdr:colOff>
      <xdr:row>31</xdr:row>
      <xdr:rowOff>22050</xdr:rowOff>
    </xdr:from>
    <xdr:to>
      <xdr:col>4</xdr:col>
      <xdr:colOff>1451016</xdr:colOff>
      <xdr:row>31</xdr:row>
      <xdr:rowOff>180165</xdr:rowOff>
    </xdr:to>
    <xdr:pic>
      <xdr:nvPicPr>
        <xdr:cNvPr id="164" name="Graphic 163">
          <a:extLst>
            <a:ext uri="{FF2B5EF4-FFF2-40B4-BE49-F238E27FC236}">
              <a16:creationId xmlns:a16="http://schemas.microsoft.com/office/drawing/2014/main" id="{895A885F-98CA-4F6A-9916-B0DAF4808B58}"/>
            </a:ext>
            <a:ext uri="{147F2762-F138-4A5C-976F-8EAC2B608ADB}">
              <a16:predDERef xmlns:a16="http://schemas.microsoft.com/office/drawing/2014/main" pred="{3A17A8D5-E5C3-4502-ACC1-F022CADA8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3416976" y="5994225"/>
          <a:ext cx="152400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1263323</xdr:colOff>
      <xdr:row>71</xdr:row>
      <xdr:rowOff>22160</xdr:rowOff>
    </xdr:from>
    <xdr:to>
      <xdr:col>4</xdr:col>
      <xdr:colOff>1476683</xdr:colOff>
      <xdr:row>71</xdr:row>
      <xdr:rowOff>180275</xdr:rowOff>
    </xdr:to>
    <xdr:pic>
      <xdr:nvPicPr>
        <xdr:cNvPr id="166" name="Graphic 165">
          <a:extLst>
            <a:ext uri="{FF2B5EF4-FFF2-40B4-BE49-F238E27FC236}">
              <a16:creationId xmlns:a16="http://schemas.microsoft.com/office/drawing/2014/main" id="{23478721-E983-4248-9001-C89BDD9ABF4A}"/>
            </a:ext>
            <a:ext uri="{147F2762-F138-4A5C-976F-8EAC2B608ADB}">
              <a16:predDERef xmlns:a16="http://schemas.microsoft.com/office/drawing/2014/main" pred="{895A885F-98CA-4F6A-9916-B0DAF4808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0"/>
            </a:ext>
          </a:extLst>
        </a:blip>
        <a:stretch>
          <a:fillRect/>
        </a:stretch>
      </xdr:blipFill>
      <xdr:spPr>
        <a:xfrm>
          <a:off x="3377873" y="13614335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1252916</xdr:colOff>
      <xdr:row>28</xdr:row>
      <xdr:rowOff>22160</xdr:rowOff>
    </xdr:from>
    <xdr:to>
      <xdr:col>4</xdr:col>
      <xdr:colOff>1470086</xdr:colOff>
      <xdr:row>28</xdr:row>
      <xdr:rowOff>180275</xdr:rowOff>
    </xdr:to>
    <xdr:pic>
      <xdr:nvPicPr>
        <xdr:cNvPr id="168" name="Graphic 167">
          <a:extLst>
            <a:ext uri="{FF2B5EF4-FFF2-40B4-BE49-F238E27FC236}">
              <a16:creationId xmlns:a16="http://schemas.microsoft.com/office/drawing/2014/main" id="{914E9B18-87CA-4972-A74B-487A65254FBF}"/>
            </a:ext>
            <a:ext uri="{147F2762-F138-4A5C-976F-8EAC2B608ADB}">
              <a16:predDERef xmlns:a16="http://schemas.microsoft.com/office/drawing/2014/main" pred="{23478721-E983-4248-9001-C89BDD9AB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2"/>
            </a:ext>
          </a:extLst>
        </a:blip>
        <a:stretch>
          <a:fillRect/>
        </a:stretch>
      </xdr:blipFill>
      <xdr:spPr>
        <a:xfrm>
          <a:off x="3367466" y="5422835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1273102</xdr:colOff>
      <xdr:row>34</xdr:row>
      <xdr:rowOff>20046</xdr:rowOff>
    </xdr:from>
    <xdr:to>
      <xdr:col>4</xdr:col>
      <xdr:colOff>1482652</xdr:colOff>
      <xdr:row>34</xdr:row>
      <xdr:rowOff>178161</xdr:rowOff>
    </xdr:to>
    <xdr:pic>
      <xdr:nvPicPr>
        <xdr:cNvPr id="170" name="Graphic 169">
          <a:extLst>
            <a:ext uri="{FF2B5EF4-FFF2-40B4-BE49-F238E27FC236}">
              <a16:creationId xmlns:a16="http://schemas.microsoft.com/office/drawing/2014/main" id="{6A835687-E18C-4E61-96BF-2CACA7028655}"/>
            </a:ext>
            <a:ext uri="{147F2762-F138-4A5C-976F-8EAC2B608ADB}">
              <a16:predDERef xmlns:a16="http://schemas.microsoft.com/office/drawing/2014/main" pred="{335E16C5-AEA3-4DA4-B7E2-D639AAA5F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4"/>
            </a:ext>
          </a:extLst>
        </a:blip>
        <a:stretch>
          <a:fillRect/>
        </a:stretch>
      </xdr:blipFill>
      <xdr:spPr>
        <a:xfrm>
          <a:off x="3387652" y="6563721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14274</xdr:colOff>
      <xdr:row>57</xdr:row>
      <xdr:rowOff>18805</xdr:rowOff>
    </xdr:from>
    <xdr:to>
      <xdr:col>7</xdr:col>
      <xdr:colOff>225729</xdr:colOff>
      <xdr:row>57</xdr:row>
      <xdr:rowOff>178825</xdr:rowOff>
    </xdr:to>
    <xdr:pic>
      <xdr:nvPicPr>
        <xdr:cNvPr id="174" name="Graphic 173">
          <a:extLst>
            <a:ext uri="{FF2B5EF4-FFF2-40B4-BE49-F238E27FC236}">
              <a16:creationId xmlns:a16="http://schemas.microsoft.com/office/drawing/2014/main" id="{0BB292AF-CF63-4D91-9FB2-B9D9255E9111}"/>
            </a:ext>
            <a:ext uri="{147F2762-F138-4A5C-976F-8EAC2B608ADB}">
              <a16:predDERef xmlns:a16="http://schemas.microsoft.com/office/drawing/2014/main" pred="{E17326C1-F69C-4536-A19B-D6DDD4D39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205274" y="10943980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23799</xdr:colOff>
      <xdr:row>72</xdr:row>
      <xdr:rowOff>8386</xdr:rowOff>
    </xdr:from>
    <xdr:to>
      <xdr:col>7</xdr:col>
      <xdr:colOff>233349</xdr:colOff>
      <xdr:row>72</xdr:row>
      <xdr:rowOff>156976</xdr:rowOff>
    </xdr:to>
    <xdr:pic>
      <xdr:nvPicPr>
        <xdr:cNvPr id="176" name="Graphic 175">
          <a:extLst>
            <a:ext uri="{FF2B5EF4-FFF2-40B4-BE49-F238E27FC236}">
              <a16:creationId xmlns:a16="http://schemas.microsoft.com/office/drawing/2014/main" id="{D5A3DA86-7AE0-44D5-8116-38B4AF820308}"/>
            </a:ext>
            <a:ext uri="{147F2762-F138-4A5C-976F-8EAC2B608ADB}">
              <a16:predDERef xmlns:a16="http://schemas.microsoft.com/office/drawing/2014/main" pred="{F4CB1AE2-6EB2-4E8D-863B-D17D5F1CB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4214799" y="13791061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20792</xdr:colOff>
      <xdr:row>64</xdr:row>
      <xdr:rowOff>10504</xdr:rowOff>
    </xdr:from>
    <xdr:to>
      <xdr:col>7</xdr:col>
      <xdr:colOff>230342</xdr:colOff>
      <xdr:row>64</xdr:row>
      <xdr:rowOff>159094</xdr:rowOff>
    </xdr:to>
    <xdr:pic>
      <xdr:nvPicPr>
        <xdr:cNvPr id="178" name="Graphic 177">
          <a:extLst>
            <a:ext uri="{FF2B5EF4-FFF2-40B4-BE49-F238E27FC236}">
              <a16:creationId xmlns:a16="http://schemas.microsoft.com/office/drawing/2014/main" id="{5538F9C8-A0F4-472F-8854-3DD951573486}"/>
            </a:ext>
            <a:ext uri="{147F2762-F138-4A5C-976F-8EAC2B608ADB}">
              <a16:predDERef xmlns:a16="http://schemas.microsoft.com/office/drawing/2014/main" pred="{061D0F4C-BFD4-4980-B574-A5BBE076E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211792" y="12269179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21793</xdr:colOff>
      <xdr:row>75</xdr:row>
      <xdr:rowOff>16345</xdr:rowOff>
    </xdr:from>
    <xdr:to>
      <xdr:col>7</xdr:col>
      <xdr:colOff>231343</xdr:colOff>
      <xdr:row>75</xdr:row>
      <xdr:rowOff>176365</xdr:rowOff>
    </xdr:to>
    <xdr:pic>
      <xdr:nvPicPr>
        <xdr:cNvPr id="180" name="Graphic 179">
          <a:extLst>
            <a:ext uri="{FF2B5EF4-FFF2-40B4-BE49-F238E27FC236}">
              <a16:creationId xmlns:a16="http://schemas.microsoft.com/office/drawing/2014/main" id="{605DFDD4-24E5-4DCF-8C84-4031B2CF39C2}"/>
            </a:ext>
            <a:ext uri="{147F2762-F138-4A5C-976F-8EAC2B608ADB}">
              <a16:predDERef xmlns:a16="http://schemas.microsoft.com/office/drawing/2014/main" pred="{5538F9C8-A0F4-472F-8854-3DD951573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4212793" y="14370520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22952</xdr:colOff>
      <xdr:row>70</xdr:row>
      <xdr:rowOff>20466</xdr:rowOff>
    </xdr:from>
    <xdr:to>
      <xdr:col>7</xdr:col>
      <xdr:colOff>232502</xdr:colOff>
      <xdr:row>70</xdr:row>
      <xdr:rowOff>178581</xdr:rowOff>
    </xdr:to>
    <xdr:pic>
      <xdr:nvPicPr>
        <xdr:cNvPr id="181" name="Graphic 180">
          <a:extLst>
            <a:ext uri="{FF2B5EF4-FFF2-40B4-BE49-F238E27FC236}">
              <a16:creationId xmlns:a16="http://schemas.microsoft.com/office/drawing/2014/main" id="{BD0BD818-94C4-4B50-B510-C69C4DCC7841}"/>
            </a:ext>
            <a:ext uri="{147F2762-F138-4A5C-976F-8EAC2B608ADB}">
              <a16:predDERef xmlns:a16="http://schemas.microsoft.com/office/drawing/2014/main" pred="{605DFDD4-24E5-4DCF-8C84-4031B2CF3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4213952" y="13422141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21793</xdr:colOff>
      <xdr:row>66</xdr:row>
      <xdr:rowOff>12726</xdr:rowOff>
    </xdr:from>
    <xdr:to>
      <xdr:col>7</xdr:col>
      <xdr:colOff>231343</xdr:colOff>
      <xdr:row>66</xdr:row>
      <xdr:rowOff>161316</xdr:rowOff>
    </xdr:to>
    <xdr:pic>
      <xdr:nvPicPr>
        <xdr:cNvPr id="186" name="Graphic 185">
          <a:extLst>
            <a:ext uri="{FF2B5EF4-FFF2-40B4-BE49-F238E27FC236}">
              <a16:creationId xmlns:a16="http://schemas.microsoft.com/office/drawing/2014/main" id="{F8144853-86A7-442E-8925-6805C06536BF}"/>
            </a:ext>
            <a:ext uri="{147F2762-F138-4A5C-976F-8EAC2B608ADB}">
              <a16:predDERef xmlns:a16="http://schemas.microsoft.com/office/drawing/2014/main" pred="{D6F816FD-8B81-4F8E-9F37-81C41FE66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4212793" y="12652401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23417</xdr:colOff>
      <xdr:row>65</xdr:row>
      <xdr:rowOff>22142</xdr:rowOff>
    </xdr:from>
    <xdr:to>
      <xdr:col>7</xdr:col>
      <xdr:colOff>232967</xdr:colOff>
      <xdr:row>65</xdr:row>
      <xdr:rowOff>180257</xdr:rowOff>
    </xdr:to>
    <xdr:pic>
      <xdr:nvPicPr>
        <xdr:cNvPr id="187" name="Graphic 186">
          <a:extLst>
            <a:ext uri="{FF2B5EF4-FFF2-40B4-BE49-F238E27FC236}">
              <a16:creationId xmlns:a16="http://schemas.microsoft.com/office/drawing/2014/main" id="{D9869385-E3E9-48AF-8AEA-A5C54A95F42B}"/>
            </a:ext>
            <a:ext uri="{147F2762-F138-4A5C-976F-8EAC2B608ADB}">
              <a16:predDERef xmlns:a16="http://schemas.microsoft.com/office/drawing/2014/main" pred="{F8144853-86A7-442E-8925-6805C0653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4"/>
            </a:ext>
          </a:extLst>
        </a:blip>
        <a:stretch>
          <a:fillRect/>
        </a:stretch>
      </xdr:blipFill>
      <xdr:spPr>
        <a:xfrm>
          <a:off x="4214417" y="12471317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1267062</xdr:colOff>
      <xdr:row>55</xdr:row>
      <xdr:rowOff>19849</xdr:rowOff>
    </xdr:from>
    <xdr:to>
      <xdr:col>4</xdr:col>
      <xdr:colOff>1480422</xdr:colOff>
      <xdr:row>55</xdr:row>
      <xdr:rowOff>179869</xdr:rowOff>
    </xdr:to>
    <xdr:pic>
      <xdr:nvPicPr>
        <xdr:cNvPr id="188" name="Graphic 187">
          <a:extLst>
            <a:ext uri="{FF2B5EF4-FFF2-40B4-BE49-F238E27FC236}">
              <a16:creationId xmlns:a16="http://schemas.microsoft.com/office/drawing/2014/main" id="{66D40F43-9FAC-461B-9600-C0A8D1D4DAFF}"/>
            </a:ext>
            <a:ext uri="{147F2762-F138-4A5C-976F-8EAC2B608ADB}">
              <a16:predDERef xmlns:a16="http://schemas.microsoft.com/office/drawing/2014/main" pred="{D9869385-E3E9-48AF-8AEA-A5C54A95F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6"/>
            </a:ext>
          </a:extLst>
        </a:blip>
        <a:stretch>
          <a:fillRect/>
        </a:stretch>
      </xdr:blipFill>
      <xdr:spPr>
        <a:xfrm>
          <a:off x="3381612" y="10564024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23417</xdr:colOff>
      <xdr:row>51</xdr:row>
      <xdr:rowOff>20576</xdr:rowOff>
    </xdr:from>
    <xdr:to>
      <xdr:col>7</xdr:col>
      <xdr:colOff>232967</xdr:colOff>
      <xdr:row>51</xdr:row>
      <xdr:rowOff>178691</xdr:rowOff>
    </xdr:to>
    <xdr:pic>
      <xdr:nvPicPr>
        <xdr:cNvPr id="189" name="Graphic 188">
          <a:extLst>
            <a:ext uri="{FF2B5EF4-FFF2-40B4-BE49-F238E27FC236}">
              <a16:creationId xmlns:a16="http://schemas.microsoft.com/office/drawing/2014/main" id="{B29E90D8-0ACB-42E6-8B0A-2F3AF5C2CD64}"/>
            </a:ext>
            <a:ext uri="{147F2762-F138-4A5C-976F-8EAC2B608ADB}">
              <a16:predDERef xmlns:a16="http://schemas.microsoft.com/office/drawing/2014/main" pred="{66D40F43-9FAC-461B-9600-C0A8D1D4D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4214417" y="9802751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19287</xdr:colOff>
      <xdr:row>61</xdr:row>
      <xdr:rowOff>17895</xdr:rowOff>
    </xdr:from>
    <xdr:to>
      <xdr:col>7</xdr:col>
      <xdr:colOff>228837</xdr:colOff>
      <xdr:row>61</xdr:row>
      <xdr:rowOff>177915</xdr:rowOff>
    </xdr:to>
    <xdr:pic>
      <xdr:nvPicPr>
        <xdr:cNvPr id="190" name="Graphic 189">
          <a:extLst>
            <a:ext uri="{FF2B5EF4-FFF2-40B4-BE49-F238E27FC236}">
              <a16:creationId xmlns:a16="http://schemas.microsoft.com/office/drawing/2014/main" id="{2041A232-6C75-469A-8901-4D7B2E621DCC}"/>
            </a:ext>
            <a:ext uri="{147F2762-F138-4A5C-976F-8EAC2B608ADB}">
              <a16:predDERef xmlns:a16="http://schemas.microsoft.com/office/drawing/2014/main" pred="{B29E90D8-0ACB-42E6-8B0A-2F3AF5C2C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0"/>
            </a:ext>
          </a:extLst>
        </a:blip>
        <a:stretch>
          <a:fillRect/>
        </a:stretch>
      </xdr:blipFill>
      <xdr:spPr>
        <a:xfrm>
          <a:off x="4210287" y="11705070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1280252</xdr:colOff>
      <xdr:row>62</xdr:row>
      <xdr:rowOff>9933</xdr:rowOff>
    </xdr:from>
    <xdr:to>
      <xdr:col>4</xdr:col>
      <xdr:colOff>1489802</xdr:colOff>
      <xdr:row>62</xdr:row>
      <xdr:rowOff>158523</xdr:rowOff>
    </xdr:to>
    <xdr:pic>
      <xdr:nvPicPr>
        <xdr:cNvPr id="191" name="Graphic 190">
          <a:extLst>
            <a:ext uri="{FF2B5EF4-FFF2-40B4-BE49-F238E27FC236}">
              <a16:creationId xmlns:a16="http://schemas.microsoft.com/office/drawing/2014/main" id="{FE4B9485-F6AA-4F52-956A-7E1D92C37B10}"/>
            </a:ext>
            <a:ext uri="{147F2762-F138-4A5C-976F-8EAC2B608ADB}">
              <a16:predDERef xmlns:a16="http://schemas.microsoft.com/office/drawing/2014/main" pred="{2041A232-6C75-469A-8901-4D7B2E621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2"/>
            </a:ext>
          </a:extLst>
        </a:blip>
        <a:stretch>
          <a:fillRect/>
        </a:stretch>
      </xdr:blipFill>
      <xdr:spPr>
        <a:xfrm>
          <a:off x="3394802" y="11887608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19287</xdr:colOff>
      <xdr:row>71</xdr:row>
      <xdr:rowOff>19458</xdr:rowOff>
    </xdr:from>
    <xdr:to>
      <xdr:col>7</xdr:col>
      <xdr:colOff>228837</xdr:colOff>
      <xdr:row>71</xdr:row>
      <xdr:rowOff>179478</xdr:rowOff>
    </xdr:to>
    <xdr:pic>
      <xdr:nvPicPr>
        <xdr:cNvPr id="192" name="Graphic 191">
          <a:extLst>
            <a:ext uri="{FF2B5EF4-FFF2-40B4-BE49-F238E27FC236}">
              <a16:creationId xmlns:a16="http://schemas.microsoft.com/office/drawing/2014/main" id="{1E9ADE1C-28E2-4F40-B825-0D86951080F6}"/>
            </a:ext>
            <a:ext uri="{147F2762-F138-4A5C-976F-8EAC2B608ADB}">
              <a16:predDERef xmlns:a16="http://schemas.microsoft.com/office/drawing/2014/main" pred="{FE4B9485-F6AA-4F52-956A-7E1D92C37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4"/>
            </a:ext>
          </a:extLst>
        </a:blip>
        <a:stretch>
          <a:fillRect/>
        </a:stretch>
      </xdr:blipFill>
      <xdr:spPr>
        <a:xfrm>
          <a:off x="4210287" y="13611633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19287</xdr:colOff>
      <xdr:row>69</xdr:row>
      <xdr:rowOff>20576</xdr:rowOff>
    </xdr:from>
    <xdr:to>
      <xdr:col>7</xdr:col>
      <xdr:colOff>228837</xdr:colOff>
      <xdr:row>69</xdr:row>
      <xdr:rowOff>178691</xdr:rowOff>
    </xdr:to>
    <xdr:pic>
      <xdr:nvPicPr>
        <xdr:cNvPr id="194" name="Graphic 193">
          <a:extLst>
            <a:ext uri="{FF2B5EF4-FFF2-40B4-BE49-F238E27FC236}">
              <a16:creationId xmlns:a16="http://schemas.microsoft.com/office/drawing/2014/main" id="{7D2B5624-F239-4AEC-AEB0-88500E4118FA}"/>
            </a:ext>
            <a:ext uri="{147F2762-F138-4A5C-976F-8EAC2B608ADB}">
              <a16:predDERef xmlns:a16="http://schemas.microsoft.com/office/drawing/2014/main" pred="{7DA7BBB8-0FF4-4517-A52E-0CA5C5FA5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6"/>
            </a:ext>
          </a:extLst>
        </a:blip>
        <a:stretch>
          <a:fillRect/>
        </a:stretch>
      </xdr:blipFill>
      <xdr:spPr>
        <a:xfrm>
          <a:off x="4210287" y="13231751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1255031</xdr:colOff>
      <xdr:row>52</xdr:row>
      <xdr:rowOff>21123</xdr:rowOff>
    </xdr:from>
    <xdr:to>
      <xdr:col>4</xdr:col>
      <xdr:colOff>1472201</xdr:colOff>
      <xdr:row>52</xdr:row>
      <xdr:rowOff>179238</xdr:rowOff>
    </xdr:to>
    <xdr:pic>
      <xdr:nvPicPr>
        <xdr:cNvPr id="199" name="Graphic 198">
          <a:extLst>
            <a:ext uri="{FF2B5EF4-FFF2-40B4-BE49-F238E27FC236}">
              <a16:creationId xmlns:a16="http://schemas.microsoft.com/office/drawing/2014/main" id="{49B0B1E0-79B7-4827-AFB1-4DCA0DF62F5E}"/>
            </a:ext>
            <a:ext uri="{147F2762-F138-4A5C-976F-8EAC2B608ADB}">
              <a16:predDERef xmlns:a16="http://schemas.microsoft.com/office/drawing/2014/main" pred="{392FE463-BABA-474D-B3E1-4AD6D176B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2"/>
            </a:ext>
          </a:extLst>
        </a:blip>
        <a:stretch>
          <a:fillRect/>
        </a:stretch>
      </xdr:blipFill>
      <xdr:spPr>
        <a:xfrm>
          <a:off x="3369581" y="9993798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15</xdr:row>
      <xdr:rowOff>19050</xdr:rowOff>
    </xdr:from>
    <xdr:to>
      <xdr:col>7</xdr:col>
      <xdr:colOff>222885</xdr:colOff>
      <xdr:row>15</xdr:row>
      <xdr:rowOff>158115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B6D60D7-263B-2905-A703-4417C42B4357}"/>
            </a:ext>
            <a:ext uri="{147F2762-F138-4A5C-976F-8EAC2B608ADB}">
              <a16:predDERef xmlns:a16="http://schemas.microsoft.com/office/drawing/2014/main" pred="{0C25B70A-7175-413E-8A4F-F7B9322F5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4219575" y="2943225"/>
          <a:ext cx="190500" cy="142875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39</xdr:row>
      <xdr:rowOff>19050</xdr:rowOff>
    </xdr:from>
    <xdr:to>
      <xdr:col>7</xdr:col>
      <xdr:colOff>217170</xdr:colOff>
      <xdr:row>39</xdr:row>
      <xdr:rowOff>158115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E1B5D36-C0A1-4E50-88CB-FDADEE6396CE}"/>
            </a:ext>
            <a:ext uri="{147F2762-F138-4A5C-976F-8EAC2B608ADB}">
              <a16:predDERef xmlns:a16="http://schemas.microsoft.com/office/drawing/2014/main" pred="{BB6D60D7-263B-2905-A703-4417C42B4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4210050" y="7515225"/>
          <a:ext cx="190500" cy="142875"/>
        </a:xfrm>
        <a:prstGeom prst="rect">
          <a:avLst/>
        </a:prstGeom>
      </xdr:spPr>
    </xdr:pic>
    <xdr:clientData/>
  </xdr:twoCellAnchor>
  <xdr:twoCellAnchor editAs="oneCell">
    <xdr:from>
      <xdr:col>4</xdr:col>
      <xdr:colOff>1276350</xdr:colOff>
      <xdr:row>60</xdr:row>
      <xdr:rowOff>19050</xdr:rowOff>
    </xdr:from>
    <xdr:to>
      <xdr:col>4</xdr:col>
      <xdr:colOff>1474470</xdr:colOff>
      <xdr:row>60</xdr:row>
      <xdr:rowOff>158115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031B59A-81A8-4F0E-AA68-4D7B043C698D}"/>
            </a:ext>
            <a:ext uri="{147F2762-F138-4A5C-976F-8EAC2B608ADB}">
              <a16:predDERef xmlns:a16="http://schemas.microsoft.com/office/drawing/2014/main" pred="{BE1B5D36-C0A1-4E50-88CB-FDADEE639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3390900" y="11515725"/>
          <a:ext cx="190500" cy="142875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6</xdr:row>
      <xdr:rowOff>19050</xdr:rowOff>
    </xdr:from>
    <xdr:to>
      <xdr:col>7</xdr:col>
      <xdr:colOff>222885</xdr:colOff>
      <xdr:row>6</xdr:row>
      <xdr:rowOff>158115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69EE8444-1F25-2356-F4A0-9AA849A76C50}"/>
            </a:ext>
            <a:ext uri="{147F2762-F138-4A5C-976F-8EAC2B608ADB}">
              <a16:predDERef xmlns:a16="http://schemas.microsoft.com/office/drawing/2014/main" pred="{6B39E8F8-E0AA-48F6-9BE1-6FD3CD5E7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219575" y="1228725"/>
          <a:ext cx="190500" cy="142875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30</xdr:row>
      <xdr:rowOff>19050</xdr:rowOff>
    </xdr:from>
    <xdr:to>
      <xdr:col>7</xdr:col>
      <xdr:colOff>217170</xdr:colOff>
      <xdr:row>30</xdr:row>
      <xdr:rowOff>158115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D0739553-C807-45C2-8E0C-C1E8D304CA8A}"/>
            </a:ext>
            <a:ext uri="{147F2762-F138-4A5C-976F-8EAC2B608ADB}">
              <a16:predDERef xmlns:a16="http://schemas.microsoft.com/office/drawing/2014/main" pred="{69EE8444-1F25-2356-F4A0-9AA849A76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210050" y="5800725"/>
          <a:ext cx="190500" cy="142875"/>
        </a:xfrm>
        <a:prstGeom prst="rect">
          <a:avLst/>
        </a:prstGeom>
      </xdr:spPr>
    </xdr:pic>
    <xdr:clientData/>
  </xdr:twoCellAnchor>
  <xdr:twoCellAnchor editAs="oneCell">
    <xdr:from>
      <xdr:col>4</xdr:col>
      <xdr:colOff>1276350</xdr:colOff>
      <xdr:row>59</xdr:row>
      <xdr:rowOff>19050</xdr:rowOff>
    </xdr:from>
    <xdr:to>
      <xdr:col>4</xdr:col>
      <xdr:colOff>1474470</xdr:colOff>
      <xdr:row>59</xdr:row>
      <xdr:rowOff>158115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847CA9E4-7471-494A-8D45-FE9AFE54E8FD}"/>
            </a:ext>
            <a:ext uri="{147F2762-F138-4A5C-976F-8EAC2B608ADB}">
              <a16:predDERef xmlns:a16="http://schemas.microsoft.com/office/drawing/2014/main" pred="{D0739553-C807-45C2-8E0C-C1E8D304C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390900" y="11325225"/>
          <a:ext cx="190500" cy="142875"/>
        </a:xfrm>
        <a:prstGeom prst="rect">
          <a:avLst/>
        </a:prstGeom>
      </xdr:spPr>
    </xdr:pic>
    <xdr:clientData/>
  </xdr:twoCellAnchor>
  <xdr:twoCellAnchor editAs="oneCell">
    <xdr:from>
      <xdr:col>4</xdr:col>
      <xdr:colOff>1285875</xdr:colOff>
      <xdr:row>7</xdr:row>
      <xdr:rowOff>28575</xdr:rowOff>
    </xdr:from>
    <xdr:to>
      <xdr:col>4</xdr:col>
      <xdr:colOff>1474470</xdr:colOff>
      <xdr:row>7</xdr:row>
      <xdr:rowOff>158115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4383D23F-95CC-44E7-F347-5683F4589692}"/>
            </a:ext>
            <a:ext uri="{147F2762-F138-4A5C-976F-8EAC2B608ADB}">
              <a16:predDERef xmlns:a16="http://schemas.microsoft.com/office/drawing/2014/main" pred="{847CA9E4-7471-494A-8D45-FE9AFE54E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3400425" y="1428750"/>
          <a:ext cx="180975" cy="133350"/>
        </a:xfrm>
        <a:prstGeom prst="rect">
          <a:avLst/>
        </a:prstGeom>
      </xdr:spPr>
    </xdr:pic>
    <xdr:clientData/>
  </xdr:twoCellAnchor>
  <xdr:twoCellAnchor editAs="oneCell">
    <xdr:from>
      <xdr:col>4</xdr:col>
      <xdr:colOff>1276350</xdr:colOff>
      <xdr:row>6</xdr:row>
      <xdr:rowOff>19050</xdr:rowOff>
    </xdr:from>
    <xdr:to>
      <xdr:col>4</xdr:col>
      <xdr:colOff>1474470</xdr:colOff>
      <xdr:row>6</xdr:row>
      <xdr:rowOff>152400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8B0F07F1-CACA-B80C-9E7E-82D6DBAFAEAD}"/>
            </a:ext>
            <a:ext uri="{147F2762-F138-4A5C-976F-8EAC2B608ADB}">
              <a16:predDERef xmlns:a16="http://schemas.microsoft.com/office/drawing/2014/main" pred="{4383D23F-95CC-44E7-F347-5683F4589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3390900" y="1228725"/>
          <a:ext cx="190500" cy="13335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33</xdr:row>
      <xdr:rowOff>19050</xdr:rowOff>
    </xdr:from>
    <xdr:to>
      <xdr:col>7</xdr:col>
      <xdr:colOff>196215</xdr:colOff>
      <xdr:row>33</xdr:row>
      <xdr:rowOff>152400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5EC2B216-D836-45D8-8687-C70EE6030040}"/>
            </a:ext>
            <a:ext uri="{147F2762-F138-4A5C-976F-8EAC2B608ADB}">
              <a16:predDERef xmlns:a16="http://schemas.microsoft.com/office/drawing/2014/main" pred="{8B0F07F1-CACA-B80C-9E7E-82D6DBAFA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4210050" y="6372225"/>
          <a:ext cx="180975" cy="13335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59</xdr:row>
      <xdr:rowOff>19050</xdr:rowOff>
    </xdr:from>
    <xdr:to>
      <xdr:col>7</xdr:col>
      <xdr:colOff>217170</xdr:colOff>
      <xdr:row>59</xdr:row>
      <xdr:rowOff>152400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AB6E75E2-D7BB-4FA9-93F5-63B0296369A7}"/>
            </a:ext>
            <a:ext uri="{147F2762-F138-4A5C-976F-8EAC2B608ADB}">
              <a16:predDERef xmlns:a16="http://schemas.microsoft.com/office/drawing/2014/main" pred="{5EC2B216-D836-45D8-8687-C70EE6030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4219575" y="11325225"/>
          <a:ext cx="180975" cy="133350"/>
        </a:xfrm>
        <a:prstGeom prst="rect">
          <a:avLst/>
        </a:prstGeom>
      </xdr:spPr>
    </xdr:pic>
    <xdr:clientData/>
  </xdr:twoCellAnchor>
  <xdr:twoCellAnchor editAs="oneCell">
    <xdr:from>
      <xdr:col>4</xdr:col>
      <xdr:colOff>1276350</xdr:colOff>
      <xdr:row>33</xdr:row>
      <xdr:rowOff>19050</xdr:rowOff>
    </xdr:from>
    <xdr:to>
      <xdr:col>4</xdr:col>
      <xdr:colOff>1474470</xdr:colOff>
      <xdr:row>33</xdr:row>
      <xdr:rowOff>152400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437C0994-7F98-40EB-905D-E5E44D2B304B}"/>
            </a:ext>
            <a:ext uri="{147F2762-F138-4A5C-976F-8EAC2B608ADB}">
              <a16:predDERef xmlns:a16="http://schemas.microsoft.com/office/drawing/2014/main" pred="{AB6E75E2-D7BB-4FA9-93F5-63B029636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3390900" y="6372225"/>
          <a:ext cx="190500" cy="13335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58</xdr:row>
      <xdr:rowOff>19050</xdr:rowOff>
    </xdr:from>
    <xdr:to>
      <xdr:col>7</xdr:col>
      <xdr:colOff>222885</xdr:colOff>
      <xdr:row>58</xdr:row>
      <xdr:rowOff>152400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C16ACF93-8809-49B5-A1C7-6D4825FAD0E8}"/>
            </a:ext>
            <a:ext uri="{147F2762-F138-4A5C-976F-8EAC2B608ADB}">
              <a16:predDERef xmlns:a16="http://schemas.microsoft.com/office/drawing/2014/main" pred="{437C0994-7F98-40EB-905D-E5E44D2B3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4219575" y="11134725"/>
          <a:ext cx="190500" cy="13335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7</xdr:row>
      <xdr:rowOff>9525</xdr:rowOff>
    </xdr:from>
    <xdr:to>
      <xdr:col>7</xdr:col>
      <xdr:colOff>228600</xdr:colOff>
      <xdr:row>7</xdr:row>
      <xdr:rowOff>158115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D43BCD2C-6856-30EB-249D-4ABD75B8C5FA}"/>
            </a:ext>
            <a:ext uri="{147F2762-F138-4A5C-976F-8EAC2B608ADB}">
              <a16:predDERef xmlns:a16="http://schemas.microsoft.com/office/drawing/2014/main" pred="{C16ACF93-8809-49B5-A1C7-6D4825FAD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4210050" y="1409700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1266825</xdr:colOff>
      <xdr:row>30</xdr:row>
      <xdr:rowOff>19050</xdr:rowOff>
    </xdr:from>
    <xdr:to>
      <xdr:col>4</xdr:col>
      <xdr:colOff>1480185</xdr:colOff>
      <xdr:row>30</xdr:row>
      <xdr:rowOff>179070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50CC640E-DC57-4408-A445-0690585C932E}"/>
            </a:ext>
            <a:ext uri="{147F2762-F138-4A5C-976F-8EAC2B608ADB}">
              <a16:predDERef xmlns:a16="http://schemas.microsoft.com/office/drawing/2014/main" pred="{D43BCD2C-6856-30EB-249D-4ABD75B8C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3381375" y="5800725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1276350</xdr:colOff>
      <xdr:row>58</xdr:row>
      <xdr:rowOff>9525</xdr:rowOff>
    </xdr:from>
    <xdr:to>
      <xdr:col>4</xdr:col>
      <xdr:colOff>1474470</xdr:colOff>
      <xdr:row>58</xdr:row>
      <xdr:rowOff>152400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4491A8DE-4C7D-4A7F-91F7-654A69FABD2F}"/>
            </a:ext>
            <a:ext uri="{147F2762-F138-4A5C-976F-8EAC2B608ADB}">
              <a16:predDERef xmlns:a16="http://schemas.microsoft.com/office/drawing/2014/main" pred="{50CC640E-DC57-4408-A445-0690585C9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3390900" y="11125200"/>
          <a:ext cx="190500" cy="142875"/>
        </a:xfrm>
        <a:prstGeom prst="rect">
          <a:avLst/>
        </a:prstGeom>
      </xdr:spPr>
    </xdr:pic>
    <xdr:clientData/>
  </xdr:twoCellAnchor>
  <xdr:twoCellAnchor editAs="oneCell">
    <xdr:from>
      <xdr:col>4</xdr:col>
      <xdr:colOff>1285875</xdr:colOff>
      <xdr:row>8</xdr:row>
      <xdr:rowOff>19050</xdr:rowOff>
    </xdr:from>
    <xdr:to>
      <xdr:col>4</xdr:col>
      <xdr:colOff>1480185</xdr:colOff>
      <xdr:row>8</xdr:row>
      <xdr:rowOff>158115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F10288F3-340E-31EB-D5F3-1743FD0B3316}"/>
            </a:ext>
            <a:ext uri="{147F2762-F138-4A5C-976F-8EAC2B608ADB}">
              <a16:predDERef xmlns:a16="http://schemas.microsoft.com/office/drawing/2014/main" pred="{4491A8DE-4C7D-4A7F-91F7-654A69FAB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3400425" y="1609725"/>
          <a:ext cx="190500" cy="142875"/>
        </a:xfrm>
        <a:prstGeom prst="rect">
          <a:avLst/>
        </a:prstGeom>
      </xdr:spPr>
    </xdr:pic>
    <xdr:clientData/>
  </xdr:twoCellAnchor>
  <xdr:twoCellAnchor editAs="oneCell">
    <xdr:from>
      <xdr:col>4</xdr:col>
      <xdr:colOff>1285875</xdr:colOff>
      <xdr:row>32</xdr:row>
      <xdr:rowOff>19050</xdr:rowOff>
    </xdr:from>
    <xdr:to>
      <xdr:col>4</xdr:col>
      <xdr:colOff>1480185</xdr:colOff>
      <xdr:row>32</xdr:row>
      <xdr:rowOff>158115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81A30AF2-AAF9-4147-85D7-78FF27D522C5}"/>
            </a:ext>
            <a:ext uri="{147F2762-F138-4A5C-976F-8EAC2B608ADB}">
              <a16:predDERef xmlns:a16="http://schemas.microsoft.com/office/drawing/2014/main" pred="{F10288F3-340E-31EB-D5F3-1743FD0B3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3400425" y="6181725"/>
          <a:ext cx="190500" cy="142875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56</xdr:row>
      <xdr:rowOff>19050</xdr:rowOff>
    </xdr:from>
    <xdr:to>
      <xdr:col>7</xdr:col>
      <xdr:colOff>222885</xdr:colOff>
      <xdr:row>56</xdr:row>
      <xdr:rowOff>158115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99A09E97-3C00-4DBA-8301-04FB23CA2A5C}"/>
            </a:ext>
            <a:ext uri="{147F2762-F138-4A5C-976F-8EAC2B608ADB}">
              <a16:predDERef xmlns:a16="http://schemas.microsoft.com/office/drawing/2014/main" pred="{81A30AF2-AAF9-4147-85D7-78FF27D52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4219575" y="10753725"/>
          <a:ext cx="190500" cy="142875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8</xdr:row>
      <xdr:rowOff>19050</xdr:rowOff>
    </xdr:from>
    <xdr:to>
      <xdr:col>7</xdr:col>
      <xdr:colOff>228600</xdr:colOff>
      <xdr:row>8</xdr:row>
      <xdr:rowOff>158115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72EA11BF-CA51-52E5-F4E9-630CE4982DFA}"/>
            </a:ext>
            <a:ext uri="{147F2762-F138-4A5C-976F-8EAC2B608ADB}">
              <a16:predDERef xmlns:a16="http://schemas.microsoft.com/office/drawing/2014/main" pred="{99A09E97-3C00-4DBA-8301-04FB23CA2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4219575" y="1609725"/>
          <a:ext cx="200025" cy="142875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31</xdr:row>
      <xdr:rowOff>19050</xdr:rowOff>
    </xdr:from>
    <xdr:to>
      <xdr:col>7</xdr:col>
      <xdr:colOff>222885</xdr:colOff>
      <xdr:row>31</xdr:row>
      <xdr:rowOff>158115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52BD69E4-E968-4B71-B47D-370F99BCA0D6}"/>
            </a:ext>
            <a:ext uri="{147F2762-F138-4A5C-976F-8EAC2B608ADB}">
              <a16:predDERef xmlns:a16="http://schemas.microsoft.com/office/drawing/2014/main" pred="{72EA11BF-CA51-52E5-F4E9-630CE4982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4210050" y="5991225"/>
          <a:ext cx="200025" cy="142875"/>
        </a:xfrm>
        <a:prstGeom prst="rect">
          <a:avLst/>
        </a:prstGeom>
      </xdr:spPr>
    </xdr:pic>
    <xdr:clientData/>
  </xdr:twoCellAnchor>
  <xdr:twoCellAnchor editAs="oneCell">
    <xdr:from>
      <xdr:col>4</xdr:col>
      <xdr:colOff>1276350</xdr:colOff>
      <xdr:row>57</xdr:row>
      <xdr:rowOff>19050</xdr:rowOff>
    </xdr:from>
    <xdr:to>
      <xdr:col>4</xdr:col>
      <xdr:colOff>1480185</xdr:colOff>
      <xdr:row>57</xdr:row>
      <xdr:rowOff>158115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3CCE7B5F-C44C-4BB2-B714-87A9AF6C134E}"/>
            </a:ext>
            <a:ext uri="{147F2762-F138-4A5C-976F-8EAC2B608ADB}">
              <a16:predDERef xmlns:a16="http://schemas.microsoft.com/office/drawing/2014/main" pred="{52BD69E4-E968-4B71-B47D-370F99BCA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3390900" y="10944225"/>
          <a:ext cx="200025" cy="142875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9</xdr:row>
      <xdr:rowOff>19050</xdr:rowOff>
    </xdr:from>
    <xdr:to>
      <xdr:col>7</xdr:col>
      <xdr:colOff>222885</xdr:colOff>
      <xdr:row>9</xdr:row>
      <xdr:rowOff>158115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27766BD1-06AD-C18B-F134-FD484D5341A6}"/>
            </a:ext>
            <a:ext uri="{147F2762-F138-4A5C-976F-8EAC2B608ADB}">
              <a16:predDERef xmlns:a16="http://schemas.microsoft.com/office/drawing/2014/main" pred="{3CCE7B5F-C44C-4BB2-B714-87A9AF6C1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4219575" y="1800225"/>
          <a:ext cx="190500" cy="142875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37</xdr:row>
      <xdr:rowOff>19050</xdr:rowOff>
    </xdr:from>
    <xdr:to>
      <xdr:col>7</xdr:col>
      <xdr:colOff>217170</xdr:colOff>
      <xdr:row>37</xdr:row>
      <xdr:rowOff>158115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C4B92765-1367-404F-A79F-C9AD30ACC023}"/>
            </a:ext>
            <a:ext uri="{147F2762-F138-4A5C-976F-8EAC2B608ADB}">
              <a16:predDERef xmlns:a16="http://schemas.microsoft.com/office/drawing/2014/main" pred="{27766BD1-06AD-C18B-F134-FD484D534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4210050" y="7134225"/>
          <a:ext cx="190500" cy="142875"/>
        </a:xfrm>
        <a:prstGeom prst="rect">
          <a:avLst/>
        </a:prstGeom>
      </xdr:spPr>
    </xdr:pic>
    <xdr:clientData/>
  </xdr:twoCellAnchor>
  <xdr:twoCellAnchor editAs="oneCell">
    <xdr:from>
      <xdr:col>4</xdr:col>
      <xdr:colOff>1285875</xdr:colOff>
      <xdr:row>65</xdr:row>
      <xdr:rowOff>19050</xdr:rowOff>
    </xdr:from>
    <xdr:to>
      <xdr:col>4</xdr:col>
      <xdr:colOff>1480185</xdr:colOff>
      <xdr:row>65</xdr:row>
      <xdr:rowOff>158115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9B133708-FEC3-4B81-8B27-27A17D261279}"/>
            </a:ext>
            <a:ext uri="{147F2762-F138-4A5C-976F-8EAC2B608ADB}">
              <a16:predDERef xmlns:a16="http://schemas.microsoft.com/office/drawing/2014/main" pred="{C4B92765-1367-404F-A79F-C9AD30ACC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3400425" y="12468225"/>
          <a:ext cx="190500" cy="142875"/>
        </a:xfrm>
        <a:prstGeom prst="rect">
          <a:avLst/>
        </a:prstGeom>
      </xdr:spPr>
    </xdr:pic>
    <xdr:clientData/>
  </xdr:twoCellAnchor>
  <xdr:twoCellAnchor editAs="oneCell">
    <xdr:from>
      <xdr:col>4</xdr:col>
      <xdr:colOff>1276350</xdr:colOff>
      <xdr:row>10</xdr:row>
      <xdr:rowOff>9525</xdr:rowOff>
    </xdr:from>
    <xdr:to>
      <xdr:col>4</xdr:col>
      <xdr:colOff>1480185</xdr:colOff>
      <xdr:row>10</xdr:row>
      <xdr:rowOff>158115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51D84315-7B60-FFFB-C340-A001D0A5FF07}"/>
            </a:ext>
            <a:ext uri="{147F2762-F138-4A5C-976F-8EAC2B608ADB}">
              <a16:predDERef xmlns:a16="http://schemas.microsoft.com/office/drawing/2014/main" pred="{9B133708-FEC3-4B81-8B27-27A17D261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3390900" y="1981200"/>
          <a:ext cx="200025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34</xdr:row>
      <xdr:rowOff>19050</xdr:rowOff>
    </xdr:from>
    <xdr:to>
      <xdr:col>7</xdr:col>
      <xdr:colOff>222885</xdr:colOff>
      <xdr:row>34</xdr:row>
      <xdr:rowOff>179070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7597E444-EDCC-403A-A2D9-9CBFDE5DE51C}"/>
            </a:ext>
            <a:ext uri="{147F2762-F138-4A5C-976F-8EAC2B608ADB}">
              <a16:predDERef xmlns:a16="http://schemas.microsoft.com/office/drawing/2014/main" pred="{51D84315-7B60-FFFB-C340-A001D0A5F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4210050" y="6562725"/>
          <a:ext cx="200025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55</xdr:row>
      <xdr:rowOff>19050</xdr:rowOff>
    </xdr:from>
    <xdr:to>
      <xdr:col>7</xdr:col>
      <xdr:colOff>228600</xdr:colOff>
      <xdr:row>55</xdr:row>
      <xdr:rowOff>179070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A6275DFE-A44B-4640-B04D-AED21754C274}"/>
            </a:ext>
            <a:ext uri="{147F2762-F138-4A5C-976F-8EAC2B608ADB}">
              <a16:predDERef xmlns:a16="http://schemas.microsoft.com/office/drawing/2014/main" pred="{7597E444-EDCC-403A-A2D9-9CBFDE5DE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4219575" y="10563225"/>
          <a:ext cx="200025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10</xdr:row>
      <xdr:rowOff>19050</xdr:rowOff>
    </xdr:from>
    <xdr:to>
      <xdr:col>7</xdr:col>
      <xdr:colOff>228600</xdr:colOff>
      <xdr:row>10</xdr:row>
      <xdr:rowOff>158115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345EE2B6-4254-4757-A17A-E588F3FF68D1}"/>
            </a:ext>
            <a:ext uri="{147F2762-F138-4A5C-976F-8EAC2B608ADB}">
              <a16:predDERef xmlns:a16="http://schemas.microsoft.com/office/drawing/2014/main" pred="{A6275DFE-A44B-4640-B04D-AED21754C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4219575" y="1990725"/>
          <a:ext cx="200025" cy="142875"/>
        </a:xfrm>
        <a:prstGeom prst="rect">
          <a:avLst/>
        </a:prstGeom>
      </xdr:spPr>
    </xdr:pic>
    <xdr:clientData/>
  </xdr:twoCellAnchor>
  <xdr:twoCellAnchor editAs="oneCell">
    <xdr:from>
      <xdr:col>4</xdr:col>
      <xdr:colOff>1276350</xdr:colOff>
      <xdr:row>35</xdr:row>
      <xdr:rowOff>19050</xdr:rowOff>
    </xdr:from>
    <xdr:to>
      <xdr:col>4</xdr:col>
      <xdr:colOff>1480185</xdr:colOff>
      <xdr:row>35</xdr:row>
      <xdr:rowOff>158115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869D3DB6-1929-49D0-932F-7437024DE66D}"/>
            </a:ext>
            <a:ext uri="{147F2762-F138-4A5C-976F-8EAC2B608ADB}">
              <a16:predDERef xmlns:a16="http://schemas.microsoft.com/office/drawing/2014/main" pred="{345EE2B6-4254-4757-A17A-E588F3FF6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3390900" y="6753225"/>
          <a:ext cx="200025" cy="142875"/>
        </a:xfrm>
        <a:prstGeom prst="rect">
          <a:avLst/>
        </a:prstGeom>
      </xdr:spPr>
    </xdr:pic>
    <xdr:clientData/>
  </xdr:twoCellAnchor>
  <xdr:twoCellAnchor editAs="oneCell">
    <xdr:from>
      <xdr:col>4</xdr:col>
      <xdr:colOff>1276350</xdr:colOff>
      <xdr:row>54</xdr:row>
      <xdr:rowOff>19050</xdr:rowOff>
    </xdr:from>
    <xdr:to>
      <xdr:col>4</xdr:col>
      <xdr:colOff>1480185</xdr:colOff>
      <xdr:row>54</xdr:row>
      <xdr:rowOff>158115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10337C5-CF48-44DE-A32D-2BC9C520099F}"/>
            </a:ext>
            <a:ext uri="{147F2762-F138-4A5C-976F-8EAC2B608ADB}">
              <a16:predDERef xmlns:a16="http://schemas.microsoft.com/office/drawing/2014/main" pred="{869D3DB6-1929-49D0-932F-7437024DE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3390900" y="10372725"/>
          <a:ext cx="200025" cy="142875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11</xdr:row>
      <xdr:rowOff>19050</xdr:rowOff>
    </xdr:from>
    <xdr:to>
      <xdr:col>7</xdr:col>
      <xdr:colOff>222885</xdr:colOff>
      <xdr:row>11</xdr:row>
      <xdr:rowOff>158115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DFC93723-4221-C3D7-F719-7819AE9485BA}"/>
            </a:ext>
            <a:ext uri="{147F2762-F138-4A5C-976F-8EAC2B608ADB}">
              <a16:predDERef xmlns:a16="http://schemas.microsoft.com/office/drawing/2014/main" pred="{010337C5-CF48-44DE-A32D-2BC9C5200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4219575" y="2181225"/>
          <a:ext cx="190500" cy="142875"/>
        </a:xfrm>
        <a:prstGeom prst="rect">
          <a:avLst/>
        </a:prstGeom>
      </xdr:spPr>
    </xdr:pic>
    <xdr:clientData/>
  </xdr:twoCellAnchor>
  <xdr:twoCellAnchor editAs="oneCell">
    <xdr:from>
      <xdr:col>4</xdr:col>
      <xdr:colOff>1276350</xdr:colOff>
      <xdr:row>37</xdr:row>
      <xdr:rowOff>19050</xdr:rowOff>
    </xdr:from>
    <xdr:to>
      <xdr:col>4</xdr:col>
      <xdr:colOff>1474470</xdr:colOff>
      <xdr:row>37</xdr:row>
      <xdr:rowOff>158115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29EA175C-4B47-4A09-AF7C-2432E57EE030}"/>
            </a:ext>
            <a:ext uri="{147F2762-F138-4A5C-976F-8EAC2B608ADB}">
              <a16:predDERef xmlns:a16="http://schemas.microsoft.com/office/drawing/2014/main" pred="{DFC93723-4221-C3D7-F719-7819AE948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3390900" y="7134225"/>
          <a:ext cx="190500" cy="142875"/>
        </a:xfrm>
        <a:prstGeom prst="rect">
          <a:avLst/>
        </a:prstGeom>
      </xdr:spPr>
    </xdr:pic>
    <xdr:clientData/>
  </xdr:twoCellAnchor>
  <xdr:twoCellAnchor editAs="oneCell">
    <xdr:from>
      <xdr:col>4</xdr:col>
      <xdr:colOff>1285875</xdr:colOff>
      <xdr:row>64</xdr:row>
      <xdr:rowOff>19050</xdr:rowOff>
    </xdr:from>
    <xdr:to>
      <xdr:col>4</xdr:col>
      <xdr:colOff>1480185</xdr:colOff>
      <xdr:row>64</xdr:row>
      <xdr:rowOff>158115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73AEA0E1-7CF9-49AB-8A6F-BF04537168F5}"/>
            </a:ext>
            <a:ext uri="{147F2762-F138-4A5C-976F-8EAC2B608ADB}">
              <a16:predDERef xmlns:a16="http://schemas.microsoft.com/office/drawing/2014/main" pred="{29EA175C-4B47-4A09-AF7C-2432E57EE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3400425" y="12277725"/>
          <a:ext cx="190500" cy="142875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54</xdr:row>
      <xdr:rowOff>19050</xdr:rowOff>
    </xdr:from>
    <xdr:to>
      <xdr:col>7</xdr:col>
      <xdr:colOff>228600</xdr:colOff>
      <xdr:row>54</xdr:row>
      <xdr:rowOff>179070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9ED42E84-6C21-450C-999C-39421CF91D08}"/>
            </a:ext>
            <a:ext uri="{147F2762-F138-4A5C-976F-8EAC2B608ADB}">
              <a16:predDERef xmlns:a16="http://schemas.microsoft.com/office/drawing/2014/main" pred="{73AEA0E1-7CF9-49AB-8A6F-BF0453716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4"/>
            </a:ext>
          </a:extLst>
        </a:blip>
        <a:stretch>
          <a:fillRect/>
        </a:stretch>
      </xdr:blipFill>
      <xdr:spPr>
        <a:xfrm>
          <a:off x="4210050" y="10372725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1304925</xdr:colOff>
      <xdr:row>56</xdr:row>
      <xdr:rowOff>19050</xdr:rowOff>
    </xdr:from>
    <xdr:to>
      <xdr:col>4</xdr:col>
      <xdr:colOff>1453515</xdr:colOff>
      <xdr:row>56</xdr:row>
      <xdr:rowOff>179070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61770197-C4C3-4510-8FFE-B312E09827E7}"/>
            </a:ext>
            <a:ext uri="{147F2762-F138-4A5C-976F-8EAC2B608ADB}">
              <a16:predDERef xmlns:a16="http://schemas.microsoft.com/office/drawing/2014/main" pred="{9ED42E84-6C21-450C-999C-39421CF91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3419475" y="10753725"/>
          <a:ext cx="152400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1266825</xdr:colOff>
      <xdr:row>14</xdr:row>
      <xdr:rowOff>9525</xdr:rowOff>
    </xdr:from>
    <xdr:to>
      <xdr:col>4</xdr:col>
      <xdr:colOff>1480185</xdr:colOff>
      <xdr:row>14</xdr:row>
      <xdr:rowOff>158115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F068B2FF-8EDA-33E5-40CE-E16D2A3EF311}"/>
            </a:ext>
            <a:ext uri="{147F2762-F138-4A5C-976F-8EAC2B608ADB}">
              <a16:predDERef xmlns:a16="http://schemas.microsoft.com/office/drawing/2014/main" pred="{61770197-C4C3-4510-8FFE-B312E0982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3381375" y="2743200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38</xdr:row>
      <xdr:rowOff>19050</xdr:rowOff>
    </xdr:from>
    <xdr:to>
      <xdr:col>7</xdr:col>
      <xdr:colOff>228600</xdr:colOff>
      <xdr:row>38</xdr:row>
      <xdr:rowOff>179070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A7A78207-A08D-41CC-AA47-8B1BA5E27D5F}"/>
            </a:ext>
            <a:ext uri="{147F2762-F138-4A5C-976F-8EAC2B608ADB}">
              <a16:predDERef xmlns:a16="http://schemas.microsoft.com/office/drawing/2014/main" pred="{F068B2FF-8EDA-33E5-40CE-E16D2A3EF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4210050" y="7324725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60</xdr:row>
      <xdr:rowOff>19050</xdr:rowOff>
    </xdr:from>
    <xdr:to>
      <xdr:col>7</xdr:col>
      <xdr:colOff>228600</xdr:colOff>
      <xdr:row>60</xdr:row>
      <xdr:rowOff>179070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9DBE3F33-0403-456B-B4B8-1E91BB1BA8B9}"/>
            </a:ext>
            <a:ext uri="{147F2762-F138-4A5C-976F-8EAC2B608ADB}">
              <a16:predDERef xmlns:a16="http://schemas.microsoft.com/office/drawing/2014/main" pred="{A7A78207-A08D-41CC-AA47-8B1BA5E27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4210050" y="11515725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14</xdr:row>
      <xdr:rowOff>9525</xdr:rowOff>
    </xdr:from>
    <xdr:to>
      <xdr:col>7</xdr:col>
      <xdr:colOff>222885</xdr:colOff>
      <xdr:row>14</xdr:row>
      <xdr:rowOff>158115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202897AA-DDF6-4593-8863-955ADF52A029}"/>
            </a:ext>
            <a:ext uri="{147F2762-F138-4A5C-976F-8EAC2B608ADB}">
              <a16:predDERef xmlns:a16="http://schemas.microsoft.com/office/drawing/2014/main" pred="{9DBE3F33-0403-456B-B4B8-1E91BB1BA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4210050" y="2743200"/>
          <a:ext cx="200025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1276350</xdr:colOff>
      <xdr:row>39</xdr:row>
      <xdr:rowOff>19050</xdr:rowOff>
    </xdr:from>
    <xdr:to>
      <xdr:col>4</xdr:col>
      <xdr:colOff>1480185</xdr:colOff>
      <xdr:row>39</xdr:row>
      <xdr:rowOff>179070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EC4F796A-976A-4D1A-A99F-A4DAD1E3B03B}"/>
            </a:ext>
            <a:ext uri="{147F2762-F138-4A5C-976F-8EAC2B608ADB}">
              <a16:predDERef xmlns:a16="http://schemas.microsoft.com/office/drawing/2014/main" pred="{202897AA-DDF6-4593-8863-955ADF52A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3390900" y="7515225"/>
          <a:ext cx="200025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1276350</xdr:colOff>
      <xdr:row>61</xdr:row>
      <xdr:rowOff>19050</xdr:rowOff>
    </xdr:from>
    <xdr:to>
      <xdr:col>4</xdr:col>
      <xdr:colOff>1480185</xdr:colOff>
      <xdr:row>61</xdr:row>
      <xdr:rowOff>179070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CAD0A170-AEE0-4773-8608-BDCE577B3783}"/>
            </a:ext>
            <a:ext uri="{147F2762-F138-4A5C-976F-8EAC2B608ADB}">
              <a16:predDERef xmlns:a16="http://schemas.microsoft.com/office/drawing/2014/main" pred="{EC4F796A-976A-4D1A-A99F-A4DAD1E3B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3390900" y="11706225"/>
          <a:ext cx="200025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1266825</xdr:colOff>
      <xdr:row>16</xdr:row>
      <xdr:rowOff>19050</xdr:rowOff>
    </xdr:from>
    <xdr:to>
      <xdr:col>4</xdr:col>
      <xdr:colOff>1480185</xdr:colOff>
      <xdr:row>16</xdr:row>
      <xdr:rowOff>179070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F0E9C929-8FCA-12A2-FFC0-4B473B22CB76}"/>
            </a:ext>
            <a:ext uri="{147F2762-F138-4A5C-976F-8EAC2B608ADB}">
              <a16:predDERef xmlns:a16="http://schemas.microsoft.com/office/drawing/2014/main" pred="{CAD0A170-AEE0-4773-8608-BDCE577B3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3381375" y="3133725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1266825</xdr:colOff>
      <xdr:row>40</xdr:row>
      <xdr:rowOff>19050</xdr:rowOff>
    </xdr:from>
    <xdr:to>
      <xdr:col>4</xdr:col>
      <xdr:colOff>1480185</xdr:colOff>
      <xdr:row>40</xdr:row>
      <xdr:rowOff>179070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1AC42D6E-85FE-49C9-97F4-B291E1538138}"/>
            </a:ext>
            <a:ext uri="{147F2762-F138-4A5C-976F-8EAC2B608ADB}">
              <a16:predDERef xmlns:a16="http://schemas.microsoft.com/office/drawing/2014/main" pred="{F0E9C929-8FCA-12A2-FFC0-4B473B22C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3381375" y="7705725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63</xdr:row>
      <xdr:rowOff>19050</xdr:rowOff>
    </xdr:from>
    <xdr:to>
      <xdr:col>7</xdr:col>
      <xdr:colOff>228600</xdr:colOff>
      <xdr:row>63</xdr:row>
      <xdr:rowOff>179070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DA269B76-E247-48A7-BB6E-61336BBE7F43}"/>
            </a:ext>
            <a:ext uri="{147F2762-F138-4A5C-976F-8EAC2B608ADB}">
              <a16:predDERef xmlns:a16="http://schemas.microsoft.com/office/drawing/2014/main" pred="{1AC42D6E-85FE-49C9-97F4-B291E1538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4210050" y="12087225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1266825</xdr:colOff>
      <xdr:row>17</xdr:row>
      <xdr:rowOff>19050</xdr:rowOff>
    </xdr:from>
    <xdr:to>
      <xdr:col>4</xdr:col>
      <xdr:colOff>1480185</xdr:colOff>
      <xdr:row>17</xdr:row>
      <xdr:rowOff>179070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42BE210D-9B31-6BD2-97A1-AAE93B7E7EF7}"/>
            </a:ext>
            <a:ext uri="{147F2762-F138-4A5C-976F-8EAC2B608ADB}">
              <a16:predDERef xmlns:a16="http://schemas.microsoft.com/office/drawing/2014/main" pred="{DA269B76-E247-48A7-BB6E-61336BBE7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3381375" y="3324225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40</xdr:row>
      <xdr:rowOff>9525</xdr:rowOff>
    </xdr:from>
    <xdr:to>
      <xdr:col>7</xdr:col>
      <xdr:colOff>228600</xdr:colOff>
      <xdr:row>40</xdr:row>
      <xdr:rowOff>158115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7BFCCDE7-B76F-4E04-A483-859E0B88B19A}"/>
            </a:ext>
            <a:ext uri="{147F2762-F138-4A5C-976F-8EAC2B608ADB}">
              <a16:predDERef xmlns:a16="http://schemas.microsoft.com/office/drawing/2014/main" pred="{42BE210D-9B31-6BD2-97A1-AAE93B7E7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4210050" y="7696200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62</xdr:row>
      <xdr:rowOff>9525</xdr:rowOff>
    </xdr:from>
    <xdr:to>
      <xdr:col>7</xdr:col>
      <xdr:colOff>228600</xdr:colOff>
      <xdr:row>62</xdr:row>
      <xdr:rowOff>158115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E57668A2-C937-4BB1-8E0A-C138846A902B}"/>
            </a:ext>
            <a:ext uri="{147F2762-F138-4A5C-976F-8EAC2B608ADB}">
              <a16:predDERef xmlns:a16="http://schemas.microsoft.com/office/drawing/2014/main" pred="{7BFCCDE7-B76F-4E04-A483-859E0B88B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4210050" y="11887200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17</xdr:row>
      <xdr:rowOff>19050</xdr:rowOff>
    </xdr:from>
    <xdr:to>
      <xdr:col>7</xdr:col>
      <xdr:colOff>228600</xdr:colOff>
      <xdr:row>17</xdr:row>
      <xdr:rowOff>179070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C196E4D8-8C61-AC6E-8410-08C8A794DFC1}"/>
            </a:ext>
            <a:ext uri="{147F2762-F138-4A5C-976F-8EAC2B608ADB}">
              <a16:predDERef xmlns:a16="http://schemas.microsoft.com/office/drawing/2014/main" pred="{E57668A2-C937-4BB1-8E0A-C138846A9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4210050" y="3324225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1266825</xdr:colOff>
      <xdr:row>41</xdr:row>
      <xdr:rowOff>19050</xdr:rowOff>
    </xdr:from>
    <xdr:to>
      <xdr:col>4</xdr:col>
      <xdr:colOff>1480185</xdr:colOff>
      <xdr:row>41</xdr:row>
      <xdr:rowOff>179070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4DF58BED-8D8C-4C50-97F6-E4630ED8C319}"/>
            </a:ext>
            <a:ext uri="{147F2762-F138-4A5C-976F-8EAC2B608ADB}">
              <a16:predDERef xmlns:a16="http://schemas.microsoft.com/office/drawing/2014/main" pred="{C196E4D8-8C61-AC6E-8410-08C8A794D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3381375" y="7896225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1266825</xdr:colOff>
      <xdr:row>63</xdr:row>
      <xdr:rowOff>19050</xdr:rowOff>
    </xdr:from>
    <xdr:to>
      <xdr:col>4</xdr:col>
      <xdr:colOff>1480185</xdr:colOff>
      <xdr:row>63</xdr:row>
      <xdr:rowOff>179070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72B4D245-49FF-45DB-A827-8BE8A1A8B48F}"/>
            </a:ext>
            <a:ext uri="{147F2762-F138-4A5C-976F-8EAC2B608ADB}">
              <a16:predDERef xmlns:a16="http://schemas.microsoft.com/office/drawing/2014/main" pred="{4DF58BED-8D8C-4C50-97F6-E4630ED8C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3381375" y="12087225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18</xdr:row>
      <xdr:rowOff>19050</xdr:rowOff>
    </xdr:from>
    <xdr:to>
      <xdr:col>7</xdr:col>
      <xdr:colOff>222885</xdr:colOff>
      <xdr:row>18</xdr:row>
      <xdr:rowOff>158115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0B455958-3603-1715-E2F5-6FB6F0CECE86}"/>
            </a:ext>
            <a:ext uri="{147F2762-F138-4A5C-976F-8EAC2B608ADB}">
              <a16:predDERef xmlns:a16="http://schemas.microsoft.com/office/drawing/2014/main" pred="{72B4D245-49FF-45DB-A827-8BE8A1A8B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4210050" y="3514725"/>
          <a:ext cx="200025" cy="142875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19</xdr:row>
      <xdr:rowOff>19050</xdr:rowOff>
    </xdr:from>
    <xdr:to>
      <xdr:col>7</xdr:col>
      <xdr:colOff>222885</xdr:colOff>
      <xdr:row>19</xdr:row>
      <xdr:rowOff>158115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098924BF-98E1-1FE5-2B9D-308786AA69E7}"/>
            </a:ext>
            <a:ext uri="{147F2762-F138-4A5C-976F-8EAC2B608ADB}">
              <a16:predDERef xmlns:a16="http://schemas.microsoft.com/office/drawing/2014/main" pred="{0B455958-3603-1715-E2F5-6FB6F0CEC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4210050" y="3705225"/>
          <a:ext cx="200025" cy="142875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42</xdr:row>
      <xdr:rowOff>19050</xdr:rowOff>
    </xdr:from>
    <xdr:to>
      <xdr:col>7</xdr:col>
      <xdr:colOff>222885</xdr:colOff>
      <xdr:row>42</xdr:row>
      <xdr:rowOff>158115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88179672-29A1-458E-A299-B8EC1111A123}"/>
            </a:ext>
            <a:ext uri="{147F2762-F138-4A5C-976F-8EAC2B608ADB}">
              <a16:predDERef xmlns:a16="http://schemas.microsoft.com/office/drawing/2014/main" pred="{098924BF-98E1-1FE5-2B9D-308786AA6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4210050" y="8086725"/>
          <a:ext cx="200025" cy="142875"/>
        </a:xfrm>
        <a:prstGeom prst="rect">
          <a:avLst/>
        </a:prstGeom>
      </xdr:spPr>
    </xdr:pic>
    <xdr:clientData/>
  </xdr:twoCellAnchor>
  <xdr:twoCellAnchor editAs="oneCell">
    <xdr:from>
      <xdr:col>4</xdr:col>
      <xdr:colOff>1276350</xdr:colOff>
      <xdr:row>70</xdr:row>
      <xdr:rowOff>19050</xdr:rowOff>
    </xdr:from>
    <xdr:to>
      <xdr:col>4</xdr:col>
      <xdr:colOff>1480185</xdr:colOff>
      <xdr:row>70</xdr:row>
      <xdr:rowOff>158115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E21C3AC7-2626-421F-91DF-9CA29ADCAAA7}"/>
            </a:ext>
            <a:ext uri="{147F2762-F138-4A5C-976F-8EAC2B608ADB}">
              <a16:predDERef xmlns:a16="http://schemas.microsoft.com/office/drawing/2014/main" pred="{88179672-29A1-458E-A299-B8EC1111A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3390900" y="13420725"/>
          <a:ext cx="200025" cy="142875"/>
        </a:xfrm>
        <a:prstGeom prst="rect">
          <a:avLst/>
        </a:prstGeom>
      </xdr:spPr>
    </xdr:pic>
    <xdr:clientData/>
  </xdr:twoCellAnchor>
  <xdr:twoCellAnchor editAs="oneCell">
    <xdr:from>
      <xdr:col>4</xdr:col>
      <xdr:colOff>1276350</xdr:colOff>
      <xdr:row>20</xdr:row>
      <xdr:rowOff>19050</xdr:rowOff>
    </xdr:from>
    <xdr:to>
      <xdr:col>4</xdr:col>
      <xdr:colOff>1480185</xdr:colOff>
      <xdr:row>20</xdr:row>
      <xdr:rowOff>158115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A339F249-01B0-573D-1A51-832F90447E7F}"/>
            </a:ext>
            <a:ext uri="{147F2762-F138-4A5C-976F-8EAC2B608ADB}">
              <a16:predDERef xmlns:a16="http://schemas.microsoft.com/office/drawing/2014/main" pred="{E21C3AC7-2626-421F-91DF-9CA29ADCA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3390900" y="3895725"/>
          <a:ext cx="200025" cy="142875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44</xdr:row>
      <xdr:rowOff>19050</xdr:rowOff>
    </xdr:from>
    <xdr:to>
      <xdr:col>7</xdr:col>
      <xdr:colOff>222885</xdr:colOff>
      <xdr:row>44</xdr:row>
      <xdr:rowOff>158115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B1AC6EF9-7793-4689-A249-1B24963F6EFA}"/>
            </a:ext>
            <a:ext uri="{147F2762-F138-4A5C-976F-8EAC2B608ADB}">
              <a16:predDERef xmlns:a16="http://schemas.microsoft.com/office/drawing/2014/main" pred="{A339F249-01B0-573D-1A51-832F90447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4210050" y="8467725"/>
          <a:ext cx="200025" cy="142875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68</xdr:row>
      <xdr:rowOff>19050</xdr:rowOff>
    </xdr:from>
    <xdr:to>
      <xdr:col>7</xdr:col>
      <xdr:colOff>222885</xdr:colOff>
      <xdr:row>68</xdr:row>
      <xdr:rowOff>158115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4191B125-922F-4D8D-927A-F296134E6639}"/>
            </a:ext>
            <a:ext uri="{147F2762-F138-4A5C-976F-8EAC2B608ADB}">
              <a16:predDERef xmlns:a16="http://schemas.microsoft.com/office/drawing/2014/main" pred="{B1AC6EF9-7793-4689-A249-1B24963F6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4210050" y="13039725"/>
          <a:ext cx="200025" cy="142875"/>
        </a:xfrm>
        <a:prstGeom prst="rect">
          <a:avLst/>
        </a:prstGeom>
      </xdr:spPr>
    </xdr:pic>
    <xdr:clientData/>
  </xdr:twoCellAnchor>
  <xdr:twoCellAnchor editAs="oneCell">
    <xdr:from>
      <xdr:col>4</xdr:col>
      <xdr:colOff>1276350</xdr:colOff>
      <xdr:row>23</xdr:row>
      <xdr:rowOff>19050</xdr:rowOff>
    </xdr:from>
    <xdr:to>
      <xdr:col>4</xdr:col>
      <xdr:colOff>1480185</xdr:colOff>
      <xdr:row>23</xdr:row>
      <xdr:rowOff>158115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FB6A1F23-356F-03C8-89A9-A58D53733FA6}"/>
            </a:ext>
            <a:ext uri="{147F2762-F138-4A5C-976F-8EAC2B608ADB}">
              <a16:predDERef xmlns:a16="http://schemas.microsoft.com/office/drawing/2014/main" pred="{4191B125-922F-4D8D-927A-F296134E6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3390900" y="4467225"/>
          <a:ext cx="200025" cy="142875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47</xdr:row>
      <xdr:rowOff>19050</xdr:rowOff>
    </xdr:from>
    <xdr:to>
      <xdr:col>7</xdr:col>
      <xdr:colOff>222885</xdr:colOff>
      <xdr:row>47</xdr:row>
      <xdr:rowOff>158115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30F1C7B3-F84D-454E-9558-C12993D76B14}"/>
            </a:ext>
            <a:ext uri="{147F2762-F138-4A5C-976F-8EAC2B608ADB}">
              <a16:predDERef xmlns:a16="http://schemas.microsoft.com/office/drawing/2014/main" pred="{FB6A1F23-356F-03C8-89A9-A58D53733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4210050" y="9039225"/>
          <a:ext cx="200025" cy="142875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67</xdr:row>
      <xdr:rowOff>19050</xdr:rowOff>
    </xdr:from>
    <xdr:to>
      <xdr:col>7</xdr:col>
      <xdr:colOff>222885</xdr:colOff>
      <xdr:row>67</xdr:row>
      <xdr:rowOff>158115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77FD7135-3C30-4340-A2CD-50300F9A1557}"/>
            </a:ext>
            <a:ext uri="{147F2762-F138-4A5C-976F-8EAC2B608ADB}">
              <a16:predDERef xmlns:a16="http://schemas.microsoft.com/office/drawing/2014/main" pred="{30F1C7B3-F84D-454E-9558-C12993D76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4210050" y="12849225"/>
          <a:ext cx="200025" cy="142875"/>
        </a:xfrm>
        <a:prstGeom prst="rect">
          <a:avLst/>
        </a:prstGeom>
      </xdr:spPr>
    </xdr:pic>
    <xdr:clientData/>
  </xdr:twoCellAnchor>
  <xdr:twoCellAnchor editAs="oneCell">
    <xdr:from>
      <xdr:col>4</xdr:col>
      <xdr:colOff>1266825</xdr:colOff>
      <xdr:row>45</xdr:row>
      <xdr:rowOff>19050</xdr:rowOff>
    </xdr:from>
    <xdr:to>
      <xdr:col>4</xdr:col>
      <xdr:colOff>1474470</xdr:colOff>
      <xdr:row>45</xdr:row>
      <xdr:rowOff>158115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B8298630-2532-ECAB-1AE9-D392529F0BB3}"/>
            </a:ext>
            <a:ext uri="{147F2762-F138-4A5C-976F-8EAC2B608ADB}">
              <a16:predDERef xmlns:a16="http://schemas.microsoft.com/office/drawing/2014/main" pred="{77FD7135-3C30-4340-A2CD-50300F9A1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3381375" y="8658225"/>
          <a:ext cx="200025" cy="142875"/>
        </a:xfrm>
        <a:prstGeom prst="rect">
          <a:avLst/>
        </a:prstGeom>
      </xdr:spPr>
    </xdr:pic>
    <xdr:clientData/>
  </xdr:twoCellAnchor>
  <xdr:twoCellAnchor editAs="oneCell">
    <xdr:from>
      <xdr:col>4</xdr:col>
      <xdr:colOff>1276350</xdr:colOff>
      <xdr:row>69</xdr:row>
      <xdr:rowOff>19050</xdr:rowOff>
    </xdr:from>
    <xdr:to>
      <xdr:col>4</xdr:col>
      <xdr:colOff>1480185</xdr:colOff>
      <xdr:row>69</xdr:row>
      <xdr:rowOff>158115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81DA73B2-C784-4149-AF54-35F3E7EBC024}"/>
            </a:ext>
            <a:ext uri="{147F2762-F138-4A5C-976F-8EAC2B608ADB}">
              <a16:predDERef xmlns:a16="http://schemas.microsoft.com/office/drawing/2014/main" pred="{B8298630-2532-ECAB-1AE9-D392529F0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3390900" y="13230225"/>
          <a:ext cx="200025" cy="142875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20</xdr:row>
      <xdr:rowOff>19050</xdr:rowOff>
    </xdr:from>
    <xdr:to>
      <xdr:col>7</xdr:col>
      <xdr:colOff>222885</xdr:colOff>
      <xdr:row>20</xdr:row>
      <xdr:rowOff>158115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E70919BA-D6FE-4669-948B-442CB9B5351B}"/>
            </a:ext>
            <a:ext uri="{147F2762-F138-4A5C-976F-8EAC2B608ADB}">
              <a16:predDERef xmlns:a16="http://schemas.microsoft.com/office/drawing/2014/main" pred="{81DA73B2-C784-4149-AF54-35F3E7EBC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4210050" y="3895725"/>
          <a:ext cx="200025" cy="142875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21</xdr:row>
      <xdr:rowOff>19050</xdr:rowOff>
    </xdr:from>
    <xdr:to>
      <xdr:col>7</xdr:col>
      <xdr:colOff>222885</xdr:colOff>
      <xdr:row>21</xdr:row>
      <xdr:rowOff>179070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30FB3D2B-1857-4524-39E8-414D7241839F}"/>
            </a:ext>
            <a:ext uri="{147F2762-F138-4A5C-976F-8EAC2B608ADB}">
              <a16:predDERef xmlns:a16="http://schemas.microsoft.com/office/drawing/2014/main" pred="{E70919BA-D6FE-4669-948B-442CB9B53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4210050" y="4086225"/>
          <a:ext cx="200025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45</xdr:row>
      <xdr:rowOff>19050</xdr:rowOff>
    </xdr:from>
    <xdr:to>
      <xdr:col>7</xdr:col>
      <xdr:colOff>222885</xdr:colOff>
      <xdr:row>45</xdr:row>
      <xdr:rowOff>179070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B3E0B716-3F31-49AB-B0DF-A7A5D062DAFF}"/>
            </a:ext>
            <a:ext uri="{147F2762-F138-4A5C-976F-8EAC2B608ADB}">
              <a16:predDERef xmlns:a16="http://schemas.microsoft.com/office/drawing/2014/main" pred="{30FB3D2B-1857-4524-39E8-414D72418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4210050" y="8658225"/>
          <a:ext cx="200025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1276350</xdr:colOff>
      <xdr:row>68</xdr:row>
      <xdr:rowOff>19050</xdr:rowOff>
    </xdr:from>
    <xdr:to>
      <xdr:col>4</xdr:col>
      <xdr:colOff>1480185</xdr:colOff>
      <xdr:row>68</xdr:row>
      <xdr:rowOff>179070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BF3C833-4DBD-4384-8E02-297FBF928C0B}"/>
            </a:ext>
            <a:ext uri="{147F2762-F138-4A5C-976F-8EAC2B608ADB}">
              <a16:predDERef xmlns:a16="http://schemas.microsoft.com/office/drawing/2014/main" pred="{B3E0B716-3F31-49AB-B0DF-A7A5D062D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3390900" y="13039725"/>
          <a:ext cx="200025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22</xdr:row>
      <xdr:rowOff>19050</xdr:rowOff>
    </xdr:from>
    <xdr:to>
      <xdr:col>7</xdr:col>
      <xdr:colOff>222885</xdr:colOff>
      <xdr:row>22</xdr:row>
      <xdr:rowOff>158115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3145E025-B580-5C4D-0669-0156CE68637F}"/>
            </a:ext>
            <a:ext uri="{147F2762-F138-4A5C-976F-8EAC2B608ADB}">
              <a16:predDERef xmlns:a16="http://schemas.microsoft.com/office/drawing/2014/main" pred="{7BF3C833-4DBD-4384-8E02-297FBF928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4210050" y="4276725"/>
          <a:ext cx="200025" cy="142875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46</xdr:row>
      <xdr:rowOff>19050</xdr:rowOff>
    </xdr:from>
    <xdr:to>
      <xdr:col>7</xdr:col>
      <xdr:colOff>222885</xdr:colOff>
      <xdr:row>46</xdr:row>
      <xdr:rowOff>158115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F422FA4D-C1F2-45D0-8FF3-1CD9CC3E692C}"/>
            </a:ext>
            <a:ext uri="{147F2762-F138-4A5C-976F-8EAC2B608ADB}">
              <a16:predDERef xmlns:a16="http://schemas.microsoft.com/office/drawing/2014/main" pred="{3145E025-B580-5C4D-0669-0156CE686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4210050" y="8848725"/>
          <a:ext cx="200025" cy="142875"/>
        </a:xfrm>
        <a:prstGeom prst="rect">
          <a:avLst/>
        </a:prstGeom>
      </xdr:spPr>
    </xdr:pic>
    <xdr:clientData/>
  </xdr:twoCellAnchor>
  <xdr:twoCellAnchor editAs="oneCell">
    <xdr:from>
      <xdr:col>4</xdr:col>
      <xdr:colOff>1276350</xdr:colOff>
      <xdr:row>67</xdr:row>
      <xdr:rowOff>19050</xdr:rowOff>
    </xdr:from>
    <xdr:to>
      <xdr:col>4</xdr:col>
      <xdr:colOff>1480185</xdr:colOff>
      <xdr:row>67</xdr:row>
      <xdr:rowOff>158115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AA774F6A-C08D-4E8A-B9CA-102E1E878606}"/>
            </a:ext>
            <a:ext uri="{147F2762-F138-4A5C-976F-8EAC2B608ADB}">
              <a16:predDERef xmlns:a16="http://schemas.microsoft.com/office/drawing/2014/main" pred="{F422FA4D-C1F2-45D0-8FF3-1CD9CC3E6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3390900" y="12849225"/>
          <a:ext cx="200025" cy="142875"/>
        </a:xfrm>
        <a:prstGeom prst="rect">
          <a:avLst/>
        </a:prstGeom>
      </xdr:spPr>
    </xdr:pic>
    <xdr:clientData/>
  </xdr:twoCellAnchor>
  <xdr:twoCellAnchor editAs="oneCell">
    <xdr:from>
      <xdr:col>4</xdr:col>
      <xdr:colOff>1276350</xdr:colOff>
      <xdr:row>66</xdr:row>
      <xdr:rowOff>19050</xdr:rowOff>
    </xdr:from>
    <xdr:to>
      <xdr:col>4</xdr:col>
      <xdr:colOff>1480185</xdr:colOff>
      <xdr:row>66</xdr:row>
      <xdr:rowOff>179070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67C0255F-509C-57CF-A97D-D7B4864AF9B0}"/>
            </a:ext>
            <a:ext uri="{147F2762-F138-4A5C-976F-8EAC2B608ADB}">
              <a16:predDERef xmlns:a16="http://schemas.microsoft.com/office/drawing/2014/main" pred="{AA774F6A-C08D-4E8A-B9CA-102E1E878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3390900" y="12658725"/>
          <a:ext cx="200025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1276350</xdr:colOff>
      <xdr:row>46</xdr:row>
      <xdr:rowOff>9525</xdr:rowOff>
    </xdr:from>
    <xdr:to>
      <xdr:col>4</xdr:col>
      <xdr:colOff>1480185</xdr:colOff>
      <xdr:row>46</xdr:row>
      <xdr:rowOff>158115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DDAF7E5B-4C05-4A74-9825-D0066FB7F2C9}"/>
            </a:ext>
            <a:ext uri="{147F2762-F138-4A5C-976F-8EAC2B608ADB}">
              <a16:predDERef xmlns:a16="http://schemas.microsoft.com/office/drawing/2014/main" pred="{67C0255F-509C-57CF-A97D-D7B4864AF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3390900" y="8839200"/>
          <a:ext cx="200025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23</xdr:row>
      <xdr:rowOff>19050</xdr:rowOff>
    </xdr:from>
    <xdr:to>
      <xdr:col>7</xdr:col>
      <xdr:colOff>222885</xdr:colOff>
      <xdr:row>23</xdr:row>
      <xdr:rowOff>179070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ABCFE893-7E10-4D50-8649-6191D4CF8087}"/>
            </a:ext>
            <a:ext uri="{147F2762-F138-4A5C-976F-8EAC2B608ADB}">
              <a16:predDERef xmlns:a16="http://schemas.microsoft.com/office/drawing/2014/main" pred="{DDAF7E5B-4C05-4A74-9825-D0066FB7F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4210050" y="4467225"/>
          <a:ext cx="200025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24</xdr:row>
      <xdr:rowOff>19050</xdr:rowOff>
    </xdr:from>
    <xdr:to>
      <xdr:col>7</xdr:col>
      <xdr:colOff>217170</xdr:colOff>
      <xdr:row>24</xdr:row>
      <xdr:rowOff>152400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58FC111B-CF3D-5593-695F-0456FF709E87}"/>
            </a:ext>
            <a:ext uri="{147F2762-F138-4A5C-976F-8EAC2B608ADB}">
              <a16:predDERef xmlns:a16="http://schemas.microsoft.com/office/drawing/2014/main" pred="{ABCFE893-7E10-4D50-8649-6191D4CF8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4210050" y="4657725"/>
          <a:ext cx="190500" cy="13335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49</xdr:row>
      <xdr:rowOff>19050</xdr:rowOff>
    </xdr:from>
    <xdr:to>
      <xdr:col>7</xdr:col>
      <xdr:colOff>217170</xdr:colOff>
      <xdr:row>49</xdr:row>
      <xdr:rowOff>152400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E7DE13C6-FF48-4A46-9940-7737996098C5}"/>
            </a:ext>
            <a:ext uri="{147F2762-F138-4A5C-976F-8EAC2B608ADB}">
              <a16:predDERef xmlns:a16="http://schemas.microsoft.com/office/drawing/2014/main" pred="{58FC111B-CF3D-5593-695F-0456FF709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4210050" y="9420225"/>
          <a:ext cx="190500" cy="133350"/>
        </a:xfrm>
        <a:prstGeom prst="rect">
          <a:avLst/>
        </a:prstGeom>
      </xdr:spPr>
    </xdr:pic>
    <xdr:clientData/>
  </xdr:twoCellAnchor>
  <xdr:twoCellAnchor editAs="oneCell">
    <xdr:from>
      <xdr:col>4</xdr:col>
      <xdr:colOff>1276350</xdr:colOff>
      <xdr:row>74</xdr:row>
      <xdr:rowOff>28575</xdr:rowOff>
    </xdr:from>
    <xdr:to>
      <xdr:col>4</xdr:col>
      <xdr:colOff>1474470</xdr:colOff>
      <xdr:row>74</xdr:row>
      <xdr:rowOff>158115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2139952F-33EC-4355-8BE7-B04B9260378A}"/>
            </a:ext>
            <a:ext uri="{147F2762-F138-4A5C-976F-8EAC2B608ADB}">
              <a16:predDERef xmlns:a16="http://schemas.microsoft.com/office/drawing/2014/main" pred="{E7DE13C6-FF48-4A46-9940-773799609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3390900" y="14192250"/>
          <a:ext cx="190500" cy="133350"/>
        </a:xfrm>
        <a:prstGeom prst="rect">
          <a:avLst/>
        </a:prstGeom>
      </xdr:spPr>
    </xdr:pic>
    <xdr:clientData/>
  </xdr:twoCellAnchor>
  <xdr:twoCellAnchor editAs="oneCell">
    <xdr:from>
      <xdr:col>4</xdr:col>
      <xdr:colOff>1276350</xdr:colOff>
      <xdr:row>25</xdr:row>
      <xdr:rowOff>19050</xdr:rowOff>
    </xdr:from>
    <xdr:to>
      <xdr:col>4</xdr:col>
      <xdr:colOff>1474470</xdr:colOff>
      <xdr:row>25</xdr:row>
      <xdr:rowOff>158115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70C438E8-24F9-7767-C915-3978A26D5BA7}"/>
            </a:ext>
            <a:ext uri="{147F2762-F138-4A5C-976F-8EAC2B608ADB}">
              <a16:predDERef xmlns:a16="http://schemas.microsoft.com/office/drawing/2014/main" pred="{2139952F-33EC-4355-8BE7-B04B92603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3390900" y="4848225"/>
          <a:ext cx="190500" cy="142875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48</xdr:row>
      <xdr:rowOff>19050</xdr:rowOff>
    </xdr:from>
    <xdr:to>
      <xdr:col>7</xdr:col>
      <xdr:colOff>217170</xdr:colOff>
      <xdr:row>48</xdr:row>
      <xdr:rowOff>158115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935F9792-7EAA-40AD-AE13-7E60491755D6}"/>
            </a:ext>
            <a:ext uri="{147F2762-F138-4A5C-976F-8EAC2B608ADB}">
              <a16:predDERef xmlns:a16="http://schemas.microsoft.com/office/drawing/2014/main" pred="{70C438E8-24F9-7767-C915-3978A26D5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4210050" y="9229725"/>
          <a:ext cx="190500" cy="142875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74</xdr:row>
      <xdr:rowOff>19050</xdr:rowOff>
    </xdr:from>
    <xdr:to>
      <xdr:col>7</xdr:col>
      <xdr:colOff>217170</xdr:colOff>
      <xdr:row>74</xdr:row>
      <xdr:rowOff>158115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F4CC0F33-1C5C-4DE7-B21C-F8C30F59532F}"/>
            </a:ext>
            <a:ext uri="{147F2762-F138-4A5C-976F-8EAC2B608ADB}">
              <a16:predDERef xmlns:a16="http://schemas.microsoft.com/office/drawing/2014/main" pred="{935F9792-7EAA-40AD-AE13-7E6049175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4210050" y="14182725"/>
          <a:ext cx="190500" cy="142875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25</xdr:row>
      <xdr:rowOff>9525</xdr:rowOff>
    </xdr:from>
    <xdr:to>
      <xdr:col>7</xdr:col>
      <xdr:colOff>222885</xdr:colOff>
      <xdr:row>25</xdr:row>
      <xdr:rowOff>158115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652CB5AB-A8A7-F9DF-276D-0D5BE7748231}"/>
            </a:ext>
            <a:ext uri="{147F2762-F138-4A5C-976F-8EAC2B608ADB}">
              <a16:predDERef xmlns:a16="http://schemas.microsoft.com/office/drawing/2014/main" pred="{F4CC0F33-1C5C-4DE7-B21C-F8C30F595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4210050" y="4838700"/>
          <a:ext cx="200025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1266825</xdr:colOff>
      <xdr:row>75</xdr:row>
      <xdr:rowOff>19050</xdr:rowOff>
    </xdr:from>
    <xdr:to>
      <xdr:col>4</xdr:col>
      <xdr:colOff>1474470</xdr:colOff>
      <xdr:row>75</xdr:row>
      <xdr:rowOff>179070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EF2907EB-5792-494A-94FA-8D1ED0F5A786}"/>
            </a:ext>
            <a:ext uri="{147F2762-F138-4A5C-976F-8EAC2B608ADB}">
              <a16:predDERef xmlns:a16="http://schemas.microsoft.com/office/drawing/2014/main" pred="{652CB5AB-A8A7-F9DF-276D-0D5BE7748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3381375" y="14373225"/>
          <a:ext cx="200025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1266825</xdr:colOff>
      <xdr:row>49</xdr:row>
      <xdr:rowOff>19050</xdr:rowOff>
    </xdr:from>
    <xdr:to>
      <xdr:col>4</xdr:col>
      <xdr:colOff>1474470</xdr:colOff>
      <xdr:row>49</xdr:row>
      <xdr:rowOff>179070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88D0F5DC-F4AC-44F1-B04D-9396174C4E0D}"/>
            </a:ext>
            <a:ext uri="{147F2762-F138-4A5C-976F-8EAC2B608ADB}">
              <a16:predDERef xmlns:a16="http://schemas.microsoft.com/office/drawing/2014/main" pred="{EF2907EB-5792-494A-94FA-8D1ED0F5A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3381375" y="9420225"/>
          <a:ext cx="200025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26</xdr:row>
      <xdr:rowOff>9525</xdr:rowOff>
    </xdr:from>
    <xdr:to>
      <xdr:col>7</xdr:col>
      <xdr:colOff>217170</xdr:colOff>
      <xdr:row>26</xdr:row>
      <xdr:rowOff>152400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CC2BA196-9E41-3B8D-76C8-CBAE66B8CF10}"/>
            </a:ext>
            <a:ext uri="{147F2762-F138-4A5C-976F-8EAC2B608ADB}">
              <a16:predDERef xmlns:a16="http://schemas.microsoft.com/office/drawing/2014/main" pred="{88D0F5DC-F4AC-44F1-B04D-9396174C4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4210050" y="5029200"/>
          <a:ext cx="190500" cy="142875"/>
        </a:xfrm>
        <a:prstGeom prst="rect">
          <a:avLst/>
        </a:prstGeom>
      </xdr:spPr>
    </xdr:pic>
    <xdr:clientData/>
  </xdr:twoCellAnchor>
  <xdr:twoCellAnchor editAs="oneCell">
    <xdr:from>
      <xdr:col>4</xdr:col>
      <xdr:colOff>1276350</xdr:colOff>
      <xdr:row>51</xdr:row>
      <xdr:rowOff>19050</xdr:rowOff>
    </xdr:from>
    <xdr:to>
      <xdr:col>4</xdr:col>
      <xdr:colOff>1474470</xdr:colOff>
      <xdr:row>51</xdr:row>
      <xdr:rowOff>158115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D92FE3C3-C952-4938-9336-AB35291EA1FF}"/>
            </a:ext>
            <a:ext uri="{147F2762-F138-4A5C-976F-8EAC2B608ADB}">
              <a16:predDERef xmlns:a16="http://schemas.microsoft.com/office/drawing/2014/main" pred="{CC2BA196-9E41-3B8D-76C8-CBAE66B8C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3390900" y="9801225"/>
          <a:ext cx="190500" cy="142875"/>
        </a:xfrm>
        <a:prstGeom prst="rect">
          <a:avLst/>
        </a:prstGeom>
      </xdr:spPr>
    </xdr:pic>
    <xdr:clientData/>
  </xdr:twoCellAnchor>
  <xdr:twoCellAnchor editAs="oneCell">
    <xdr:from>
      <xdr:col>4</xdr:col>
      <xdr:colOff>1276350</xdr:colOff>
      <xdr:row>72</xdr:row>
      <xdr:rowOff>19050</xdr:rowOff>
    </xdr:from>
    <xdr:to>
      <xdr:col>4</xdr:col>
      <xdr:colOff>1474470</xdr:colOff>
      <xdr:row>72</xdr:row>
      <xdr:rowOff>158115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78F1F27C-38CD-4B4B-91C1-2C270068EDF0}"/>
            </a:ext>
            <a:ext uri="{147F2762-F138-4A5C-976F-8EAC2B608ADB}">
              <a16:predDERef xmlns:a16="http://schemas.microsoft.com/office/drawing/2014/main" pred="{D92FE3C3-C952-4938-9336-AB35291EA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3390900" y="13801725"/>
          <a:ext cx="190500" cy="142875"/>
        </a:xfrm>
        <a:prstGeom prst="rect">
          <a:avLst/>
        </a:prstGeom>
      </xdr:spPr>
    </xdr:pic>
    <xdr:clientData/>
  </xdr:twoCellAnchor>
  <xdr:twoCellAnchor editAs="oneCell">
    <xdr:from>
      <xdr:col>4</xdr:col>
      <xdr:colOff>1266825</xdr:colOff>
      <xdr:row>26</xdr:row>
      <xdr:rowOff>19050</xdr:rowOff>
    </xdr:from>
    <xdr:to>
      <xdr:col>4</xdr:col>
      <xdr:colOff>1480185</xdr:colOff>
      <xdr:row>26</xdr:row>
      <xdr:rowOff>179070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AD3B7227-2DB1-FDC9-1F40-DEC7BD7DE41E}"/>
            </a:ext>
            <a:ext uri="{147F2762-F138-4A5C-976F-8EAC2B608ADB}">
              <a16:predDERef xmlns:a16="http://schemas.microsoft.com/office/drawing/2014/main" pred="{78F1F27C-38CD-4B4B-91C1-2C270068E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3381375" y="5038725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50</xdr:row>
      <xdr:rowOff>19050</xdr:rowOff>
    </xdr:from>
    <xdr:to>
      <xdr:col>7</xdr:col>
      <xdr:colOff>228600</xdr:colOff>
      <xdr:row>50</xdr:row>
      <xdr:rowOff>179070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6E7558E1-CF67-4B72-9E7D-25A3E79F51DC}"/>
            </a:ext>
            <a:ext uri="{147F2762-F138-4A5C-976F-8EAC2B608ADB}">
              <a16:predDERef xmlns:a16="http://schemas.microsoft.com/office/drawing/2014/main" pred="{AD3B7227-2DB1-FDC9-1F40-DEC7BD7DE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4210050" y="9610725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73</xdr:row>
      <xdr:rowOff>19050</xdr:rowOff>
    </xdr:from>
    <xdr:to>
      <xdr:col>7</xdr:col>
      <xdr:colOff>228600</xdr:colOff>
      <xdr:row>73</xdr:row>
      <xdr:rowOff>179070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CBA7BA57-6D9A-440B-8719-5C4B1E9FCDD8}"/>
            </a:ext>
            <a:ext uri="{147F2762-F138-4A5C-976F-8EAC2B608ADB}">
              <a16:predDERef xmlns:a16="http://schemas.microsoft.com/office/drawing/2014/main" pred="{6E7558E1-CF67-4B72-9E7D-25A3E79F5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4210050" y="13992225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28</xdr:row>
      <xdr:rowOff>19050</xdr:rowOff>
    </xdr:from>
    <xdr:to>
      <xdr:col>7</xdr:col>
      <xdr:colOff>217170</xdr:colOff>
      <xdr:row>28</xdr:row>
      <xdr:rowOff>158115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F0ACA1BB-2892-8D8F-16BC-AAA469005846}"/>
            </a:ext>
            <a:ext uri="{147F2762-F138-4A5C-976F-8EAC2B608ADB}">
              <a16:predDERef xmlns:a16="http://schemas.microsoft.com/office/drawing/2014/main" pred="{CBA7BA57-6D9A-440B-8719-5C4B1E9FC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4210050" y="5419725"/>
          <a:ext cx="190500" cy="142875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53</xdr:row>
      <xdr:rowOff>19050</xdr:rowOff>
    </xdr:from>
    <xdr:to>
      <xdr:col>7</xdr:col>
      <xdr:colOff>217170</xdr:colOff>
      <xdr:row>53</xdr:row>
      <xdr:rowOff>158115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A66CD503-F508-4880-B9CB-2407BC8B2FC0}"/>
            </a:ext>
            <a:ext uri="{147F2762-F138-4A5C-976F-8EAC2B608ADB}">
              <a16:predDERef xmlns:a16="http://schemas.microsoft.com/office/drawing/2014/main" pred="{F0ACA1BB-2892-8D8F-16BC-AAA469005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4210050" y="10182225"/>
          <a:ext cx="190500" cy="142875"/>
        </a:xfrm>
        <a:prstGeom prst="rect">
          <a:avLst/>
        </a:prstGeom>
      </xdr:spPr>
    </xdr:pic>
    <xdr:clientData/>
  </xdr:twoCellAnchor>
  <xdr:twoCellAnchor editAs="oneCell">
    <xdr:from>
      <xdr:col>4</xdr:col>
      <xdr:colOff>1276350</xdr:colOff>
      <xdr:row>77</xdr:row>
      <xdr:rowOff>19050</xdr:rowOff>
    </xdr:from>
    <xdr:to>
      <xdr:col>4</xdr:col>
      <xdr:colOff>1474470</xdr:colOff>
      <xdr:row>77</xdr:row>
      <xdr:rowOff>158115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96100DE2-9C01-42BF-A75E-FA6C48C4CB00}"/>
            </a:ext>
            <a:ext uri="{147F2762-F138-4A5C-976F-8EAC2B608ADB}">
              <a16:predDERef xmlns:a16="http://schemas.microsoft.com/office/drawing/2014/main" pred="{A66CD503-F508-4880-B9CB-2407BC8B2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3390900" y="14754225"/>
          <a:ext cx="190500" cy="142875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29</xdr:row>
      <xdr:rowOff>19050</xdr:rowOff>
    </xdr:from>
    <xdr:to>
      <xdr:col>7</xdr:col>
      <xdr:colOff>228600</xdr:colOff>
      <xdr:row>29</xdr:row>
      <xdr:rowOff>179070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BAADC898-EF39-F06B-280A-55C896BC6499}"/>
            </a:ext>
            <a:ext uri="{147F2762-F138-4A5C-976F-8EAC2B608ADB}">
              <a16:predDERef xmlns:a16="http://schemas.microsoft.com/office/drawing/2014/main" pred="{96100DE2-9C01-42BF-A75E-FA6C48C4C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4210050" y="5610225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1257300</xdr:colOff>
      <xdr:row>76</xdr:row>
      <xdr:rowOff>19050</xdr:rowOff>
    </xdr:from>
    <xdr:to>
      <xdr:col>4</xdr:col>
      <xdr:colOff>1474470</xdr:colOff>
      <xdr:row>76</xdr:row>
      <xdr:rowOff>179070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06725317-788A-40D9-9A96-55B138349EED}"/>
            </a:ext>
            <a:ext uri="{147F2762-F138-4A5C-976F-8EAC2B608ADB}">
              <a16:predDERef xmlns:a16="http://schemas.microsoft.com/office/drawing/2014/main" pred="{BAADC898-EF39-F06B-280A-55C896BC6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3371850" y="14563725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1257300</xdr:colOff>
      <xdr:row>53</xdr:row>
      <xdr:rowOff>19050</xdr:rowOff>
    </xdr:from>
    <xdr:to>
      <xdr:col>4</xdr:col>
      <xdr:colOff>1474470</xdr:colOff>
      <xdr:row>53</xdr:row>
      <xdr:rowOff>179070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E5BCB6FE-DF8E-4E1C-A89E-02718ED35B2F}"/>
            </a:ext>
            <a:ext uri="{147F2762-F138-4A5C-976F-8EAC2B608ADB}">
              <a16:predDERef xmlns:a16="http://schemas.microsoft.com/office/drawing/2014/main" pred="{06725317-788A-40D9-9A96-55B138349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3371850" y="10182225"/>
          <a:ext cx="209550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1276350</xdr:colOff>
      <xdr:row>29</xdr:row>
      <xdr:rowOff>19050</xdr:rowOff>
    </xdr:from>
    <xdr:to>
      <xdr:col>4</xdr:col>
      <xdr:colOff>1480185</xdr:colOff>
      <xdr:row>29</xdr:row>
      <xdr:rowOff>179070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A91A538F-459A-2E5C-F58D-BFE81A3AD270}"/>
            </a:ext>
            <a:ext uri="{147F2762-F138-4A5C-976F-8EAC2B608ADB}">
              <a16:predDERef xmlns:a16="http://schemas.microsoft.com/office/drawing/2014/main" pred="{E5BCB6FE-DF8E-4E1C-A89E-02718ED35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3390900" y="5610225"/>
          <a:ext cx="200025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52</xdr:row>
      <xdr:rowOff>19050</xdr:rowOff>
    </xdr:from>
    <xdr:to>
      <xdr:col>7</xdr:col>
      <xdr:colOff>222885</xdr:colOff>
      <xdr:row>52</xdr:row>
      <xdr:rowOff>179070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87CB918A-C8E8-4384-9086-8D45C8599E43}"/>
            </a:ext>
            <a:ext uri="{147F2762-F138-4A5C-976F-8EAC2B608ADB}">
              <a16:predDERef xmlns:a16="http://schemas.microsoft.com/office/drawing/2014/main" pred="{A91A538F-459A-2E5C-F58D-BFE81A3AD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4210050" y="9991725"/>
          <a:ext cx="200025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77</xdr:row>
      <xdr:rowOff>19050</xdr:rowOff>
    </xdr:from>
    <xdr:to>
      <xdr:col>7</xdr:col>
      <xdr:colOff>222885</xdr:colOff>
      <xdr:row>77</xdr:row>
      <xdr:rowOff>179070</xdr:rowOff>
    </xdr:to>
    <xdr:pic>
      <xdr:nvPicPr>
        <xdr:cNvPr id="197" name="Picture 196">
          <a:extLst>
            <a:ext uri="{FF2B5EF4-FFF2-40B4-BE49-F238E27FC236}">
              <a16:creationId xmlns:a16="http://schemas.microsoft.com/office/drawing/2014/main" id="{9CEE2CED-EED2-41A6-AEB6-5520EAB59514}"/>
            </a:ext>
            <a:ext uri="{147F2762-F138-4A5C-976F-8EAC2B608ADB}">
              <a16:predDERef xmlns:a16="http://schemas.microsoft.com/office/drawing/2014/main" pred="{87CB918A-C8E8-4384-9086-8D45C8599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4210050" y="14754225"/>
          <a:ext cx="200025" cy="15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wallchart.io/football/world-cup-2026.html" TargetMode="External"/><Relationship Id="rId2" Type="http://schemas.openxmlformats.org/officeDocument/2006/relationships/hyperlink" Target="http://www.excely.com/football/2026-fifa-world-cup-schedule.html" TargetMode="External"/><Relationship Id="rId1" Type="http://schemas.openxmlformats.org/officeDocument/2006/relationships/hyperlink" Target="http://www.excely.com/ice-hockey/world-cup-2009-schedule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57"/>
  <sheetViews>
    <sheetView workbookViewId="0">
      <pane xSplit="1" ySplit="1" topLeftCell="B136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ColWidth="14" defaultRowHeight="15" x14ac:dyDescent="0.25"/>
  <cols>
    <col min="1" max="1" width="24.140625" bestFit="1" customWidth="1"/>
    <col min="2" max="42" width="14" customWidth="1"/>
  </cols>
  <sheetData>
    <row r="1" spans="1:4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25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  <c r="J2" t="s">
        <v>51</v>
      </c>
      <c r="K2" t="s">
        <v>52</v>
      </c>
      <c r="L2" t="s">
        <v>53</v>
      </c>
      <c r="M2" t="s">
        <v>54</v>
      </c>
      <c r="N2" t="s">
        <v>55</v>
      </c>
      <c r="O2" t="s">
        <v>56</v>
      </c>
      <c r="P2" t="s">
        <v>57</v>
      </c>
      <c r="Q2" t="s">
        <v>58</v>
      </c>
      <c r="R2" t="s">
        <v>59</v>
      </c>
      <c r="S2" t="s">
        <v>60</v>
      </c>
      <c r="T2" t="s">
        <v>61</v>
      </c>
      <c r="U2" t="s">
        <v>62</v>
      </c>
      <c r="V2" t="s">
        <v>63</v>
      </c>
      <c r="W2" t="s">
        <v>64</v>
      </c>
      <c r="X2" t="s">
        <v>65</v>
      </c>
      <c r="Y2" t="s">
        <v>66</v>
      </c>
      <c r="Z2" t="s">
        <v>67</v>
      </c>
      <c r="AA2" t="s">
        <v>68</v>
      </c>
      <c r="AB2" t="s">
        <v>69</v>
      </c>
      <c r="AC2" t="s">
        <v>70</v>
      </c>
      <c r="AD2" t="s">
        <v>71</v>
      </c>
      <c r="AE2" t="s">
        <v>72</v>
      </c>
      <c r="AF2" t="s">
        <v>73</v>
      </c>
      <c r="AG2" t="s">
        <v>74</v>
      </c>
      <c r="AH2" t="s">
        <v>75</v>
      </c>
      <c r="AI2" t="s">
        <v>76</v>
      </c>
      <c r="AJ2" t="s">
        <v>77</v>
      </c>
      <c r="AK2" t="s">
        <v>78</v>
      </c>
      <c r="AL2" t="s">
        <v>79</v>
      </c>
      <c r="AM2" t="s">
        <v>80</v>
      </c>
      <c r="AN2" t="s">
        <v>81</v>
      </c>
      <c r="AO2" s="1" t="s">
        <v>82</v>
      </c>
      <c r="AP2" t="s">
        <v>83</v>
      </c>
    </row>
    <row r="3" spans="1:42" x14ac:dyDescent="0.25">
      <c r="A3" t="s">
        <v>84</v>
      </c>
      <c r="B3" t="s">
        <v>85</v>
      </c>
      <c r="C3" t="s">
        <v>86</v>
      </c>
      <c r="D3" t="s">
        <v>87</v>
      </c>
      <c r="E3" t="s">
        <v>88</v>
      </c>
      <c r="F3" t="s">
        <v>89</v>
      </c>
      <c r="G3" t="s">
        <v>90</v>
      </c>
      <c r="H3" t="s">
        <v>91</v>
      </c>
      <c r="I3" t="s">
        <v>92</v>
      </c>
      <c r="J3" t="s">
        <v>93</v>
      </c>
      <c r="K3" t="s">
        <v>94</v>
      </c>
      <c r="L3" t="s">
        <v>95</v>
      </c>
      <c r="M3" t="s">
        <v>96</v>
      </c>
      <c r="N3" t="s">
        <v>97</v>
      </c>
      <c r="O3" t="s">
        <v>98</v>
      </c>
      <c r="P3" t="s">
        <v>99</v>
      </c>
      <c r="Q3" t="s">
        <v>100</v>
      </c>
      <c r="R3" t="s">
        <v>101</v>
      </c>
      <c r="S3" t="s">
        <v>102</v>
      </c>
      <c r="T3" t="s">
        <v>103</v>
      </c>
      <c r="U3" t="s">
        <v>104</v>
      </c>
      <c r="V3" t="s">
        <v>105</v>
      </c>
      <c r="W3" t="s">
        <v>106</v>
      </c>
      <c r="X3" t="s">
        <v>107</v>
      </c>
      <c r="Y3" t="s">
        <v>108</v>
      </c>
      <c r="Z3" t="s">
        <v>109</v>
      </c>
      <c r="AA3" t="s">
        <v>110</v>
      </c>
      <c r="AB3" t="s">
        <v>111</v>
      </c>
      <c r="AC3" t="s">
        <v>112</v>
      </c>
      <c r="AD3" t="s">
        <v>113</v>
      </c>
      <c r="AE3" t="s">
        <v>114</v>
      </c>
      <c r="AF3" t="s">
        <v>115</v>
      </c>
      <c r="AG3" t="s">
        <v>116</v>
      </c>
      <c r="AH3" t="s">
        <v>117</v>
      </c>
      <c r="AI3" t="s">
        <v>118</v>
      </c>
      <c r="AJ3" t="s">
        <v>114</v>
      </c>
      <c r="AK3" t="s">
        <v>119</v>
      </c>
      <c r="AL3" t="s">
        <v>120</v>
      </c>
      <c r="AM3" t="s">
        <v>121</v>
      </c>
      <c r="AN3" t="s">
        <v>122</v>
      </c>
      <c r="AO3" t="s">
        <v>123</v>
      </c>
      <c r="AP3" t="s">
        <v>124</v>
      </c>
    </row>
    <row r="4" spans="1:42" x14ac:dyDescent="0.25">
      <c r="A4" t="s">
        <v>125</v>
      </c>
      <c r="B4" t="s">
        <v>126</v>
      </c>
      <c r="C4" t="s">
        <v>127</v>
      </c>
      <c r="D4" t="s">
        <v>128</v>
      </c>
      <c r="E4" t="s">
        <v>129</v>
      </c>
      <c r="F4" t="s">
        <v>130</v>
      </c>
      <c r="G4" t="s">
        <v>131</v>
      </c>
      <c r="H4" t="s">
        <v>132</v>
      </c>
      <c r="I4" t="s">
        <v>133</v>
      </c>
      <c r="J4" t="s">
        <v>134</v>
      </c>
      <c r="K4" t="s">
        <v>135</v>
      </c>
      <c r="L4" t="s">
        <v>136</v>
      </c>
      <c r="M4" t="s">
        <v>137</v>
      </c>
      <c r="N4" t="s">
        <v>138</v>
      </c>
      <c r="O4" t="s">
        <v>139</v>
      </c>
      <c r="P4" t="s">
        <v>140</v>
      </c>
      <c r="Q4" t="s">
        <v>141</v>
      </c>
      <c r="R4" t="s">
        <v>142</v>
      </c>
      <c r="S4" t="s">
        <v>143</v>
      </c>
      <c r="T4" t="s">
        <v>144</v>
      </c>
      <c r="U4" t="s">
        <v>145</v>
      </c>
      <c r="V4" t="s">
        <v>146</v>
      </c>
      <c r="W4" t="s">
        <v>147</v>
      </c>
      <c r="X4" t="s">
        <v>148</v>
      </c>
      <c r="Y4" t="s">
        <v>149</v>
      </c>
      <c r="Z4" t="s">
        <v>150</v>
      </c>
      <c r="AA4" t="s">
        <v>151</v>
      </c>
      <c r="AB4" t="s">
        <v>152</v>
      </c>
      <c r="AC4" t="s">
        <v>153</v>
      </c>
      <c r="AD4" t="s">
        <v>154</v>
      </c>
      <c r="AE4" t="s">
        <v>155</v>
      </c>
      <c r="AF4" t="s">
        <v>156</v>
      </c>
      <c r="AG4" t="s">
        <v>157</v>
      </c>
      <c r="AH4" t="s">
        <v>158</v>
      </c>
      <c r="AI4" t="s">
        <v>159</v>
      </c>
      <c r="AJ4" t="s">
        <v>160</v>
      </c>
      <c r="AK4" t="s">
        <v>161</v>
      </c>
      <c r="AL4" t="s">
        <v>162</v>
      </c>
      <c r="AM4" t="s">
        <v>163</v>
      </c>
      <c r="AN4" t="s">
        <v>164</v>
      </c>
      <c r="AO4" t="s">
        <v>165</v>
      </c>
      <c r="AP4" t="s">
        <v>166</v>
      </c>
    </row>
    <row r="5" spans="1:42" x14ac:dyDescent="0.25">
      <c r="A5" t="s">
        <v>167</v>
      </c>
      <c r="B5" t="s">
        <v>168</v>
      </c>
      <c r="C5" t="s">
        <v>169</v>
      </c>
      <c r="D5" t="s">
        <v>170</v>
      </c>
      <c r="E5" t="s">
        <v>171</v>
      </c>
      <c r="F5" t="s">
        <v>172</v>
      </c>
      <c r="G5" t="s">
        <v>173</v>
      </c>
      <c r="H5" t="s">
        <v>174</v>
      </c>
      <c r="I5" t="s">
        <v>175</v>
      </c>
      <c r="J5" t="s">
        <v>176</v>
      </c>
      <c r="K5" t="s">
        <v>177</v>
      </c>
      <c r="L5" t="s">
        <v>178</v>
      </c>
      <c r="M5" t="s">
        <v>179</v>
      </c>
      <c r="N5" t="s">
        <v>180</v>
      </c>
      <c r="O5" t="s">
        <v>181</v>
      </c>
      <c r="P5" t="s">
        <v>182</v>
      </c>
      <c r="Q5" t="s">
        <v>183</v>
      </c>
      <c r="R5" t="s">
        <v>184</v>
      </c>
      <c r="S5" t="s">
        <v>185</v>
      </c>
      <c r="T5" t="s">
        <v>186</v>
      </c>
      <c r="U5" t="s">
        <v>187</v>
      </c>
      <c r="V5" t="s">
        <v>188</v>
      </c>
      <c r="W5" t="s">
        <v>189</v>
      </c>
      <c r="X5" t="s">
        <v>190</v>
      </c>
      <c r="Y5" t="s">
        <v>191</v>
      </c>
      <c r="Z5" t="s">
        <v>192</v>
      </c>
      <c r="AA5" t="s">
        <v>193</v>
      </c>
      <c r="AB5" t="s">
        <v>178</v>
      </c>
      <c r="AC5" t="s">
        <v>194</v>
      </c>
      <c r="AD5" t="s">
        <v>195</v>
      </c>
      <c r="AE5" t="s">
        <v>196</v>
      </c>
      <c r="AF5" t="s">
        <v>197</v>
      </c>
      <c r="AG5" t="s">
        <v>176</v>
      </c>
      <c r="AH5" t="s">
        <v>198</v>
      </c>
      <c r="AI5" t="s">
        <v>199</v>
      </c>
      <c r="AJ5" t="s">
        <v>200</v>
      </c>
      <c r="AK5" t="s">
        <v>201</v>
      </c>
      <c r="AL5" t="s">
        <v>202</v>
      </c>
      <c r="AM5" t="s">
        <v>203</v>
      </c>
      <c r="AN5" t="s">
        <v>204</v>
      </c>
      <c r="AO5" t="s">
        <v>205</v>
      </c>
      <c r="AP5" t="s">
        <v>206</v>
      </c>
    </row>
    <row r="6" spans="1:42" x14ac:dyDescent="0.25">
      <c r="A6" t="s">
        <v>207</v>
      </c>
      <c r="B6" t="s">
        <v>208</v>
      </c>
      <c r="C6" t="s">
        <v>209</v>
      </c>
      <c r="D6" t="s">
        <v>210</v>
      </c>
      <c r="E6" t="s">
        <v>211</v>
      </c>
      <c r="F6" t="s">
        <v>212</v>
      </c>
      <c r="G6" t="s">
        <v>213</v>
      </c>
      <c r="H6" t="s">
        <v>214</v>
      </c>
      <c r="I6" t="s">
        <v>215</v>
      </c>
      <c r="J6" t="s">
        <v>216</v>
      </c>
      <c r="K6" t="s">
        <v>217</v>
      </c>
      <c r="L6" t="s">
        <v>218</v>
      </c>
      <c r="M6" t="s">
        <v>219</v>
      </c>
      <c r="N6" t="s">
        <v>220</v>
      </c>
      <c r="O6" t="s">
        <v>221</v>
      </c>
      <c r="P6" t="s">
        <v>222</v>
      </c>
      <c r="Q6" t="s">
        <v>223</v>
      </c>
      <c r="R6" t="s">
        <v>224</v>
      </c>
      <c r="S6" t="s">
        <v>225</v>
      </c>
      <c r="T6" t="s">
        <v>226</v>
      </c>
      <c r="U6" t="s">
        <v>227</v>
      </c>
      <c r="V6" t="s">
        <v>228</v>
      </c>
      <c r="W6" t="s">
        <v>229</v>
      </c>
      <c r="X6" t="s">
        <v>230</v>
      </c>
      <c r="Y6" t="s">
        <v>231</v>
      </c>
      <c r="Z6" t="s">
        <v>232</v>
      </c>
      <c r="AA6" t="s">
        <v>233</v>
      </c>
      <c r="AB6" t="s">
        <v>218</v>
      </c>
      <c r="AC6" t="s">
        <v>234</v>
      </c>
      <c r="AD6" t="s">
        <v>235</v>
      </c>
      <c r="AE6" t="s">
        <v>236</v>
      </c>
      <c r="AF6" t="s">
        <v>218</v>
      </c>
      <c r="AG6" t="s">
        <v>216</v>
      </c>
      <c r="AH6" t="s">
        <v>217</v>
      </c>
      <c r="AI6" t="s">
        <v>237</v>
      </c>
      <c r="AJ6" t="s">
        <v>238</v>
      </c>
      <c r="AK6" t="s">
        <v>239</v>
      </c>
      <c r="AL6" t="s">
        <v>240</v>
      </c>
      <c r="AM6" t="s">
        <v>241</v>
      </c>
      <c r="AN6" t="s">
        <v>242</v>
      </c>
      <c r="AO6" t="s">
        <v>243</v>
      </c>
      <c r="AP6" t="s">
        <v>244</v>
      </c>
    </row>
    <row r="7" spans="1:42" x14ac:dyDescent="0.25">
      <c r="A7" t="s">
        <v>245</v>
      </c>
      <c r="B7" t="s">
        <v>246</v>
      </c>
      <c r="C7" t="s">
        <v>247</v>
      </c>
      <c r="D7" t="s">
        <v>248</v>
      </c>
      <c r="E7" t="s">
        <v>249</v>
      </c>
      <c r="F7" t="s">
        <v>250</v>
      </c>
      <c r="G7" t="s">
        <v>251</v>
      </c>
      <c r="H7" t="s">
        <v>252</v>
      </c>
      <c r="I7" t="s">
        <v>253</v>
      </c>
      <c r="J7" t="s">
        <v>254</v>
      </c>
      <c r="K7" t="s">
        <v>255</v>
      </c>
      <c r="L7" t="s">
        <v>256</v>
      </c>
      <c r="M7" t="s">
        <v>257</v>
      </c>
      <c r="N7" t="s">
        <v>258</v>
      </c>
      <c r="O7" t="s">
        <v>259</v>
      </c>
      <c r="P7" t="s">
        <v>260</v>
      </c>
      <c r="Q7" t="s">
        <v>261</v>
      </c>
      <c r="R7" t="s">
        <v>262</v>
      </c>
      <c r="S7" t="s">
        <v>263</v>
      </c>
      <c r="T7" t="s">
        <v>264</v>
      </c>
      <c r="U7" t="s">
        <v>265</v>
      </c>
      <c r="V7" t="s">
        <v>266</v>
      </c>
      <c r="W7" t="s">
        <v>267</v>
      </c>
      <c r="X7" t="s">
        <v>268</v>
      </c>
      <c r="Y7" t="s">
        <v>269</v>
      </c>
      <c r="Z7" t="s">
        <v>270</v>
      </c>
      <c r="AA7" t="s">
        <v>271</v>
      </c>
      <c r="AB7" t="s">
        <v>272</v>
      </c>
      <c r="AC7" t="s">
        <v>273</v>
      </c>
      <c r="AD7" t="s">
        <v>274</v>
      </c>
      <c r="AE7" t="s">
        <v>275</v>
      </c>
      <c r="AF7" t="s">
        <v>276</v>
      </c>
      <c r="AG7" t="s">
        <v>254</v>
      </c>
      <c r="AH7" t="s">
        <v>277</v>
      </c>
      <c r="AI7" t="s">
        <v>278</v>
      </c>
      <c r="AJ7" t="s">
        <v>279</v>
      </c>
      <c r="AK7" t="s">
        <v>280</v>
      </c>
      <c r="AL7" t="s">
        <v>281</v>
      </c>
      <c r="AM7" t="s">
        <v>282</v>
      </c>
      <c r="AN7" t="s">
        <v>283</v>
      </c>
      <c r="AO7" t="s">
        <v>284</v>
      </c>
      <c r="AP7" t="s">
        <v>285</v>
      </c>
    </row>
    <row r="8" spans="1:42" x14ac:dyDescent="0.25">
      <c r="A8" t="s">
        <v>286</v>
      </c>
      <c r="B8" t="s">
        <v>287</v>
      </c>
      <c r="C8" t="s">
        <v>288</v>
      </c>
      <c r="D8" t="s">
        <v>289</v>
      </c>
      <c r="E8" t="s">
        <v>286</v>
      </c>
      <c r="F8" t="s">
        <v>290</v>
      </c>
      <c r="G8" t="s">
        <v>286</v>
      </c>
      <c r="H8" t="s">
        <v>291</v>
      </c>
      <c r="I8" t="s">
        <v>292</v>
      </c>
      <c r="J8" t="s">
        <v>293</v>
      </c>
      <c r="K8" t="s">
        <v>294</v>
      </c>
      <c r="L8" t="s">
        <v>293</v>
      </c>
      <c r="M8" t="s">
        <v>293</v>
      </c>
      <c r="N8" t="s">
        <v>295</v>
      </c>
      <c r="O8" t="s">
        <v>293</v>
      </c>
      <c r="P8" t="s">
        <v>296</v>
      </c>
      <c r="Q8" t="s">
        <v>293</v>
      </c>
      <c r="R8" t="s">
        <v>297</v>
      </c>
      <c r="S8" t="s">
        <v>298</v>
      </c>
      <c r="T8" t="s">
        <v>299</v>
      </c>
      <c r="U8" t="s">
        <v>286</v>
      </c>
      <c r="V8" t="s">
        <v>300</v>
      </c>
      <c r="W8" t="s">
        <v>293</v>
      </c>
      <c r="X8" t="s">
        <v>301</v>
      </c>
      <c r="Y8" t="s">
        <v>302</v>
      </c>
      <c r="Z8" t="s">
        <v>303</v>
      </c>
      <c r="AA8" t="s">
        <v>304</v>
      </c>
      <c r="AB8" t="s">
        <v>293</v>
      </c>
      <c r="AC8" t="s">
        <v>305</v>
      </c>
      <c r="AD8" t="s">
        <v>306</v>
      </c>
      <c r="AE8" t="s">
        <v>286</v>
      </c>
      <c r="AF8" t="s">
        <v>307</v>
      </c>
      <c r="AG8" t="s">
        <v>293</v>
      </c>
      <c r="AH8" t="s">
        <v>294</v>
      </c>
      <c r="AI8" t="s">
        <v>293</v>
      </c>
      <c r="AJ8" t="s">
        <v>286</v>
      </c>
      <c r="AK8" t="s">
        <v>286</v>
      </c>
      <c r="AL8" t="s">
        <v>308</v>
      </c>
      <c r="AM8" t="s">
        <v>286</v>
      </c>
      <c r="AN8" t="s">
        <v>309</v>
      </c>
      <c r="AO8" t="s">
        <v>310</v>
      </c>
      <c r="AP8" t="s">
        <v>311</v>
      </c>
    </row>
    <row r="9" spans="1:42" x14ac:dyDescent="0.25">
      <c r="A9" t="s">
        <v>312</v>
      </c>
      <c r="B9" t="s">
        <v>313</v>
      </c>
      <c r="C9" t="s">
        <v>314</v>
      </c>
      <c r="D9" t="s">
        <v>315</v>
      </c>
      <c r="E9" t="s">
        <v>316</v>
      </c>
      <c r="F9" t="s">
        <v>317</v>
      </c>
      <c r="G9" t="s">
        <v>318</v>
      </c>
      <c r="H9" t="s">
        <v>319</v>
      </c>
      <c r="I9" t="s">
        <v>320</v>
      </c>
      <c r="J9" t="s">
        <v>321</v>
      </c>
      <c r="K9" t="s">
        <v>322</v>
      </c>
      <c r="L9" t="s">
        <v>323</v>
      </c>
      <c r="M9" t="s">
        <v>324</v>
      </c>
      <c r="N9" t="s">
        <v>325</v>
      </c>
      <c r="O9" t="s">
        <v>326</v>
      </c>
      <c r="P9" t="s">
        <v>327</v>
      </c>
      <c r="Q9" t="s">
        <v>323</v>
      </c>
      <c r="R9" t="s">
        <v>328</v>
      </c>
      <c r="S9" t="s">
        <v>329</v>
      </c>
      <c r="T9" t="s">
        <v>330</v>
      </c>
      <c r="U9" t="s">
        <v>331</v>
      </c>
      <c r="V9" t="s">
        <v>332</v>
      </c>
      <c r="W9" t="s">
        <v>333</v>
      </c>
      <c r="X9" t="s">
        <v>334</v>
      </c>
      <c r="Y9" t="s">
        <v>335</v>
      </c>
      <c r="Z9" t="s">
        <v>317</v>
      </c>
      <c r="AA9" t="s">
        <v>336</v>
      </c>
      <c r="AB9" t="s">
        <v>323</v>
      </c>
      <c r="AC9" t="s">
        <v>337</v>
      </c>
      <c r="AD9" t="s">
        <v>321</v>
      </c>
      <c r="AE9" t="s">
        <v>338</v>
      </c>
      <c r="AF9" t="s">
        <v>321</v>
      </c>
      <c r="AG9" t="s">
        <v>321</v>
      </c>
      <c r="AH9" t="s">
        <v>322</v>
      </c>
      <c r="AI9" t="s">
        <v>322</v>
      </c>
      <c r="AJ9" t="s">
        <v>338</v>
      </c>
      <c r="AK9" t="s">
        <v>336</v>
      </c>
      <c r="AL9" t="s">
        <v>339</v>
      </c>
      <c r="AM9" t="s">
        <v>318</v>
      </c>
      <c r="AN9" t="s">
        <v>340</v>
      </c>
      <c r="AO9" t="s">
        <v>317</v>
      </c>
      <c r="AP9" t="s">
        <v>124</v>
      </c>
    </row>
    <row r="10" spans="1:42" x14ac:dyDescent="0.25">
      <c r="A10" t="s">
        <v>341</v>
      </c>
      <c r="B10" t="s">
        <v>342</v>
      </c>
      <c r="C10" t="s">
        <v>343</v>
      </c>
      <c r="D10" t="s">
        <v>344</v>
      </c>
      <c r="E10" t="s">
        <v>345</v>
      </c>
      <c r="F10" t="s">
        <v>346</v>
      </c>
      <c r="G10" t="s">
        <v>347</v>
      </c>
      <c r="H10" t="s">
        <v>348</v>
      </c>
      <c r="I10" t="s">
        <v>349</v>
      </c>
      <c r="J10" t="s">
        <v>341</v>
      </c>
      <c r="K10" t="s">
        <v>350</v>
      </c>
      <c r="L10" t="s">
        <v>351</v>
      </c>
      <c r="M10" t="s">
        <v>352</v>
      </c>
      <c r="N10" t="s">
        <v>351</v>
      </c>
      <c r="O10" t="s">
        <v>347</v>
      </c>
      <c r="P10" t="s">
        <v>353</v>
      </c>
      <c r="Q10" t="s">
        <v>351</v>
      </c>
      <c r="R10" t="s">
        <v>354</v>
      </c>
      <c r="S10" t="s">
        <v>355</v>
      </c>
      <c r="T10" t="s">
        <v>356</v>
      </c>
      <c r="U10" t="s">
        <v>357</v>
      </c>
      <c r="V10" t="s">
        <v>342</v>
      </c>
      <c r="W10" t="s">
        <v>358</v>
      </c>
      <c r="X10" t="s">
        <v>359</v>
      </c>
      <c r="Y10" t="s">
        <v>360</v>
      </c>
      <c r="Z10" t="s">
        <v>361</v>
      </c>
      <c r="AA10" t="s">
        <v>342</v>
      </c>
      <c r="AB10" t="s">
        <v>362</v>
      </c>
      <c r="AC10" t="s">
        <v>363</v>
      </c>
      <c r="AD10" t="s">
        <v>356</v>
      </c>
      <c r="AE10" t="s">
        <v>347</v>
      </c>
      <c r="AF10" t="s">
        <v>347</v>
      </c>
      <c r="AG10" t="s">
        <v>364</v>
      </c>
      <c r="AH10" t="s">
        <v>350</v>
      </c>
      <c r="AI10" t="s">
        <v>341</v>
      </c>
      <c r="AJ10" t="s">
        <v>347</v>
      </c>
      <c r="AK10" t="s">
        <v>365</v>
      </c>
      <c r="AL10" t="s">
        <v>366</v>
      </c>
      <c r="AM10" t="s">
        <v>345</v>
      </c>
      <c r="AN10" t="s">
        <v>367</v>
      </c>
      <c r="AO10" t="s">
        <v>368</v>
      </c>
      <c r="AP10" t="s">
        <v>369</v>
      </c>
    </row>
    <row r="11" spans="1:42" x14ac:dyDescent="0.25">
      <c r="A11" t="s">
        <v>370</v>
      </c>
      <c r="B11" t="s">
        <v>371</v>
      </c>
      <c r="C11" t="s">
        <v>372</v>
      </c>
      <c r="D11" t="s">
        <v>373</v>
      </c>
      <c r="E11" t="s">
        <v>374</v>
      </c>
      <c r="F11" t="s">
        <v>375</v>
      </c>
      <c r="G11" t="s">
        <v>358</v>
      </c>
      <c r="H11" t="s">
        <v>376</v>
      </c>
      <c r="I11" t="s">
        <v>377</v>
      </c>
      <c r="J11" t="s">
        <v>370</v>
      </c>
      <c r="K11" t="s">
        <v>378</v>
      </c>
      <c r="L11" t="s">
        <v>378</v>
      </c>
      <c r="M11" t="s">
        <v>370</v>
      </c>
      <c r="N11" t="s">
        <v>378</v>
      </c>
      <c r="O11" t="s">
        <v>378</v>
      </c>
      <c r="P11" t="s">
        <v>379</v>
      </c>
      <c r="Q11" t="s">
        <v>362</v>
      </c>
      <c r="R11" t="s">
        <v>380</v>
      </c>
      <c r="S11" t="s">
        <v>381</v>
      </c>
      <c r="T11" t="s">
        <v>382</v>
      </c>
      <c r="U11" t="s">
        <v>383</v>
      </c>
      <c r="V11" t="s">
        <v>384</v>
      </c>
      <c r="W11" t="s">
        <v>378</v>
      </c>
      <c r="X11" t="s">
        <v>385</v>
      </c>
      <c r="Y11" t="s">
        <v>342</v>
      </c>
      <c r="Z11" t="s">
        <v>375</v>
      </c>
      <c r="AA11" t="s">
        <v>386</v>
      </c>
      <c r="AB11" t="s">
        <v>378</v>
      </c>
      <c r="AC11" t="s">
        <v>387</v>
      </c>
      <c r="AD11" t="s">
        <v>350</v>
      </c>
      <c r="AE11" t="s">
        <v>378</v>
      </c>
      <c r="AF11" t="s">
        <v>378</v>
      </c>
      <c r="AG11" t="s">
        <v>388</v>
      </c>
      <c r="AH11" t="s">
        <v>378</v>
      </c>
      <c r="AI11" t="s">
        <v>370</v>
      </c>
      <c r="AJ11" t="s">
        <v>358</v>
      </c>
      <c r="AK11" t="s">
        <v>378</v>
      </c>
      <c r="AL11" t="s">
        <v>389</v>
      </c>
      <c r="AM11" t="s">
        <v>358</v>
      </c>
      <c r="AN11" t="s">
        <v>390</v>
      </c>
      <c r="AO11" t="s">
        <v>391</v>
      </c>
      <c r="AP11" t="s">
        <v>392</v>
      </c>
    </row>
    <row r="12" spans="1:42" x14ac:dyDescent="0.25">
      <c r="A12" t="s">
        <v>393</v>
      </c>
      <c r="B12" t="s">
        <v>394</v>
      </c>
      <c r="C12" t="s">
        <v>395</v>
      </c>
      <c r="D12" t="s">
        <v>396</v>
      </c>
      <c r="E12" t="s">
        <v>397</v>
      </c>
      <c r="F12" t="s">
        <v>398</v>
      </c>
      <c r="G12" t="s">
        <v>399</v>
      </c>
      <c r="H12" t="s">
        <v>400</v>
      </c>
      <c r="I12" t="s">
        <v>401</v>
      </c>
      <c r="J12" t="s">
        <v>393</v>
      </c>
      <c r="K12" t="s">
        <v>386</v>
      </c>
      <c r="L12" t="s">
        <v>402</v>
      </c>
      <c r="M12" t="s">
        <v>358</v>
      </c>
      <c r="N12" t="s">
        <v>347</v>
      </c>
      <c r="O12" t="s">
        <v>393</v>
      </c>
      <c r="P12" t="s">
        <v>403</v>
      </c>
      <c r="Q12" t="s">
        <v>393</v>
      </c>
      <c r="R12" t="s">
        <v>404</v>
      </c>
      <c r="S12" t="s">
        <v>405</v>
      </c>
      <c r="T12" t="s">
        <v>406</v>
      </c>
      <c r="U12" t="s">
        <v>407</v>
      </c>
      <c r="V12" t="s">
        <v>408</v>
      </c>
      <c r="W12" t="s">
        <v>388</v>
      </c>
      <c r="X12" t="s">
        <v>409</v>
      </c>
      <c r="Y12" t="s">
        <v>410</v>
      </c>
      <c r="Z12" t="s">
        <v>411</v>
      </c>
      <c r="AA12" t="s">
        <v>412</v>
      </c>
      <c r="AB12" t="s">
        <v>390</v>
      </c>
      <c r="AC12" t="s">
        <v>413</v>
      </c>
      <c r="AD12" t="s">
        <v>386</v>
      </c>
      <c r="AE12" t="s">
        <v>399</v>
      </c>
      <c r="AF12" t="s">
        <v>399</v>
      </c>
      <c r="AG12" t="s">
        <v>414</v>
      </c>
      <c r="AH12" t="s">
        <v>386</v>
      </c>
      <c r="AI12" t="s">
        <v>393</v>
      </c>
      <c r="AJ12" t="s">
        <v>393</v>
      </c>
      <c r="AK12" t="s">
        <v>345</v>
      </c>
      <c r="AL12" t="s">
        <v>415</v>
      </c>
      <c r="AM12" t="s">
        <v>416</v>
      </c>
      <c r="AN12" t="s">
        <v>397</v>
      </c>
      <c r="AO12" t="s">
        <v>411</v>
      </c>
      <c r="AP12" t="s">
        <v>417</v>
      </c>
    </row>
    <row r="13" spans="1:42" x14ac:dyDescent="0.25">
      <c r="A13" t="s">
        <v>342</v>
      </c>
      <c r="B13" t="s">
        <v>397</v>
      </c>
      <c r="C13" t="s">
        <v>418</v>
      </c>
      <c r="D13" t="s">
        <v>419</v>
      </c>
      <c r="E13" t="s">
        <v>356</v>
      </c>
      <c r="F13" t="s">
        <v>420</v>
      </c>
      <c r="G13" t="s">
        <v>388</v>
      </c>
      <c r="H13" t="s">
        <v>421</v>
      </c>
      <c r="I13" t="s">
        <v>422</v>
      </c>
      <c r="J13" t="s">
        <v>342</v>
      </c>
      <c r="K13" t="s">
        <v>388</v>
      </c>
      <c r="L13" t="s">
        <v>390</v>
      </c>
      <c r="M13" t="s">
        <v>378</v>
      </c>
      <c r="N13" t="s">
        <v>390</v>
      </c>
      <c r="O13" t="s">
        <v>406</v>
      </c>
      <c r="P13" t="s">
        <v>423</v>
      </c>
      <c r="Q13" t="s">
        <v>424</v>
      </c>
      <c r="R13" t="s">
        <v>425</v>
      </c>
      <c r="S13" t="s">
        <v>426</v>
      </c>
      <c r="T13" t="s">
        <v>378</v>
      </c>
      <c r="U13" t="s">
        <v>427</v>
      </c>
      <c r="V13" t="s">
        <v>390</v>
      </c>
      <c r="W13" t="s">
        <v>362</v>
      </c>
      <c r="X13" t="s">
        <v>428</v>
      </c>
      <c r="Y13" t="s">
        <v>388</v>
      </c>
      <c r="Z13" t="s">
        <v>429</v>
      </c>
      <c r="AA13" t="s">
        <v>390</v>
      </c>
      <c r="AB13" t="s">
        <v>384</v>
      </c>
      <c r="AC13" t="s">
        <v>430</v>
      </c>
      <c r="AD13" t="s">
        <v>388</v>
      </c>
      <c r="AE13" t="s">
        <v>406</v>
      </c>
      <c r="AF13" t="s">
        <v>412</v>
      </c>
      <c r="AG13" t="s">
        <v>412</v>
      </c>
      <c r="AH13" t="s">
        <v>388</v>
      </c>
      <c r="AI13" t="s">
        <v>342</v>
      </c>
      <c r="AJ13" t="s">
        <v>388</v>
      </c>
      <c r="AK13" t="s">
        <v>371</v>
      </c>
      <c r="AL13" t="s">
        <v>431</v>
      </c>
      <c r="AM13" t="s">
        <v>356</v>
      </c>
      <c r="AN13" t="s">
        <v>416</v>
      </c>
      <c r="AO13" t="s">
        <v>375</v>
      </c>
      <c r="AP13" t="s">
        <v>432</v>
      </c>
    </row>
    <row r="14" spans="1:42" x14ac:dyDescent="0.25">
      <c r="A14" t="s">
        <v>433</v>
      </c>
      <c r="B14" t="s">
        <v>434</v>
      </c>
      <c r="C14" t="s">
        <v>435</v>
      </c>
      <c r="D14" t="s">
        <v>436</v>
      </c>
      <c r="E14" t="s">
        <v>437</v>
      </c>
      <c r="F14" t="s">
        <v>438</v>
      </c>
      <c r="G14" t="s">
        <v>439</v>
      </c>
      <c r="H14" t="s">
        <v>440</v>
      </c>
      <c r="I14" t="s">
        <v>441</v>
      </c>
      <c r="J14" t="s">
        <v>433</v>
      </c>
      <c r="K14" t="s">
        <v>442</v>
      </c>
      <c r="L14" t="s">
        <v>443</v>
      </c>
      <c r="M14" t="s">
        <v>444</v>
      </c>
      <c r="N14" t="s">
        <v>443</v>
      </c>
      <c r="O14" t="s">
        <v>445</v>
      </c>
      <c r="P14" t="s">
        <v>446</v>
      </c>
      <c r="Q14" t="s">
        <v>447</v>
      </c>
      <c r="R14" t="s">
        <v>448</v>
      </c>
      <c r="S14" t="s">
        <v>449</v>
      </c>
      <c r="T14" t="s">
        <v>450</v>
      </c>
      <c r="U14" t="s">
        <v>451</v>
      </c>
      <c r="V14" t="s">
        <v>452</v>
      </c>
      <c r="W14" t="s">
        <v>453</v>
      </c>
      <c r="X14" t="s">
        <v>454</v>
      </c>
      <c r="Y14" t="s">
        <v>455</v>
      </c>
      <c r="Z14" t="s">
        <v>456</v>
      </c>
      <c r="AA14" t="s">
        <v>457</v>
      </c>
      <c r="AB14" t="s">
        <v>458</v>
      </c>
      <c r="AC14" t="s">
        <v>459</v>
      </c>
      <c r="AD14" t="s">
        <v>460</v>
      </c>
      <c r="AE14" t="s">
        <v>461</v>
      </c>
      <c r="AF14" t="s">
        <v>462</v>
      </c>
      <c r="AG14" t="s">
        <v>463</v>
      </c>
      <c r="AH14" t="s">
        <v>464</v>
      </c>
      <c r="AI14" t="s">
        <v>433</v>
      </c>
      <c r="AJ14" t="s">
        <v>439</v>
      </c>
      <c r="AK14" t="s">
        <v>465</v>
      </c>
      <c r="AL14" t="s">
        <v>466</v>
      </c>
      <c r="AM14" t="s">
        <v>467</v>
      </c>
      <c r="AN14" t="s">
        <v>468</v>
      </c>
      <c r="AO14" t="s">
        <v>469</v>
      </c>
      <c r="AP14" t="s">
        <v>470</v>
      </c>
    </row>
    <row r="15" spans="1:42" x14ac:dyDescent="0.25">
      <c r="A15" t="s">
        <v>471</v>
      </c>
      <c r="B15" t="s">
        <v>472</v>
      </c>
      <c r="C15" t="s">
        <v>473</v>
      </c>
      <c r="D15" t="s">
        <v>474</v>
      </c>
      <c r="E15" t="s">
        <v>475</v>
      </c>
      <c r="F15" t="s">
        <v>476</v>
      </c>
      <c r="G15" t="s">
        <v>477</v>
      </c>
      <c r="H15" t="s">
        <v>478</v>
      </c>
      <c r="I15" t="s">
        <v>479</v>
      </c>
      <c r="J15" t="s">
        <v>471</v>
      </c>
      <c r="K15" t="s">
        <v>480</v>
      </c>
      <c r="L15" t="s">
        <v>471</v>
      </c>
      <c r="M15" t="s">
        <v>471</v>
      </c>
      <c r="N15" t="s">
        <v>481</v>
      </c>
      <c r="O15" t="s">
        <v>482</v>
      </c>
      <c r="P15" t="s">
        <v>483</v>
      </c>
      <c r="Q15" t="s">
        <v>484</v>
      </c>
      <c r="R15" t="s">
        <v>485</v>
      </c>
      <c r="S15" t="s">
        <v>486</v>
      </c>
      <c r="T15" t="s">
        <v>471</v>
      </c>
      <c r="U15" t="s">
        <v>487</v>
      </c>
      <c r="V15" t="s">
        <v>481</v>
      </c>
      <c r="W15" t="s">
        <v>488</v>
      </c>
      <c r="X15" t="s">
        <v>489</v>
      </c>
      <c r="Y15" t="s">
        <v>490</v>
      </c>
      <c r="Z15" t="s">
        <v>491</v>
      </c>
      <c r="AA15" t="s">
        <v>388</v>
      </c>
      <c r="AB15" t="s">
        <v>388</v>
      </c>
      <c r="AC15" t="s">
        <v>492</v>
      </c>
      <c r="AD15" t="s">
        <v>493</v>
      </c>
      <c r="AE15" t="s">
        <v>388</v>
      </c>
      <c r="AF15" t="s">
        <v>388</v>
      </c>
      <c r="AG15" t="s">
        <v>494</v>
      </c>
      <c r="AH15" t="s">
        <v>480</v>
      </c>
      <c r="AI15" t="s">
        <v>471</v>
      </c>
      <c r="AJ15" t="s">
        <v>482</v>
      </c>
      <c r="AK15" t="s">
        <v>388</v>
      </c>
      <c r="AL15" t="s">
        <v>495</v>
      </c>
      <c r="AM15" t="s">
        <v>388</v>
      </c>
      <c r="AN15" t="s">
        <v>496</v>
      </c>
      <c r="AO15" t="s">
        <v>361</v>
      </c>
      <c r="AP15" t="s">
        <v>497</v>
      </c>
    </row>
    <row r="18" spans="1:42" x14ac:dyDescent="0.25">
      <c r="A18" t="s">
        <v>498</v>
      </c>
      <c r="B18" t="s">
        <v>499</v>
      </c>
      <c r="C18" t="s">
        <v>500</v>
      </c>
      <c r="D18" t="s">
        <v>501</v>
      </c>
      <c r="E18" t="s">
        <v>416</v>
      </c>
      <c r="F18" t="s">
        <v>502</v>
      </c>
      <c r="G18" t="s">
        <v>503</v>
      </c>
      <c r="H18" t="s">
        <v>504</v>
      </c>
      <c r="I18" t="s">
        <v>498</v>
      </c>
      <c r="J18" t="s">
        <v>505</v>
      </c>
      <c r="K18" t="s">
        <v>506</v>
      </c>
      <c r="L18" t="s">
        <v>507</v>
      </c>
      <c r="M18" t="s">
        <v>508</v>
      </c>
      <c r="N18" t="s">
        <v>498</v>
      </c>
      <c r="O18" t="s">
        <v>498</v>
      </c>
      <c r="P18" t="s">
        <v>509</v>
      </c>
      <c r="Q18" t="s">
        <v>498</v>
      </c>
      <c r="R18" t="s">
        <v>510</v>
      </c>
      <c r="S18" t="s">
        <v>511</v>
      </c>
      <c r="T18" t="s">
        <v>512</v>
      </c>
      <c r="U18" t="s">
        <v>513</v>
      </c>
      <c r="V18" t="s">
        <v>498</v>
      </c>
      <c r="W18" t="s">
        <v>514</v>
      </c>
      <c r="X18" t="s">
        <v>515</v>
      </c>
      <c r="Y18" t="s">
        <v>516</v>
      </c>
      <c r="Z18" t="s">
        <v>502</v>
      </c>
      <c r="AA18" t="s">
        <v>517</v>
      </c>
      <c r="AB18" t="s">
        <v>507</v>
      </c>
      <c r="AC18" t="s">
        <v>518</v>
      </c>
      <c r="AD18" t="s">
        <v>519</v>
      </c>
      <c r="AE18" t="s">
        <v>514</v>
      </c>
      <c r="AF18" t="s">
        <v>520</v>
      </c>
      <c r="AG18" t="s">
        <v>505</v>
      </c>
      <c r="AH18" t="s">
        <v>506</v>
      </c>
      <c r="AI18" t="s">
        <v>505</v>
      </c>
      <c r="AJ18" t="s">
        <v>498</v>
      </c>
      <c r="AK18" t="s">
        <v>521</v>
      </c>
      <c r="AL18" t="s">
        <v>522</v>
      </c>
      <c r="AM18" t="s">
        <v>523</v>
      </c>
      <c r="AN18" t="s">
        <v>524</v>
      </c>
      <c r="AO18" t="s">
        <v>525</v>
      </c>
      <c r="AP18" t="s">
        <v>526</v>
      </c>
    </row>
    <row r="19" spans="1:42" x14ac:dyDescent="0.25">
      <c r="A19" t="s">
        <v>527</v>
      </c>
      <c r="B19" t="s">
        <v>528</v>
      </c>
      <c r="C19" t="s">
        <v>529</v>
      </c>
      <c r="D19" t="s">
        <v>530</v>
      </c>
      <c r="E19" t="s">
        <v>531</v>
      </c>
      <c r="F19" t="s">
        <v>532</v>
      </c>
      <c r="G19" t="s">
        <v>533</v>
      </c>
      <c r="H19" t="s">
        <v>534</v>
      </c>
      <c r="I19" t="s">
        <v>527</v>
      </c>
      <c r="J19" t="s">
        <v>535</v>
      </c>
      <c r="K19" t="s">
        <v>536</v>
      </c>
      <c r="L19" t="s">
        <v>537</v>
      </c>
      <c r="M19" t="s">
        <v>538</v>
      </c>
      <c r="N19" t="s">
        <v>539</v>
      </c>
      <c r="O19" t="s">
        <v>527</v>
      </c>
      <c r="P19" t="s">
        <v>540</v>
      </c>
      <c r="Q19" t="s">
        <v>527</v>
      </c>
      <c r="R19" t="s">
        <v>541</v>
      </c>
      <c r="S19" t="s">
        <v>542</v>
      </c>
      <c r="T19" t="s">
        <v>543</v>
      </c>
      <c r="U19" t="s">
        <v>544</v>
      </c>
      <c r="V19" t="s">
        <v>539</v>
      </c>
      <c r="W19" t="s">
        <v>545</v>
      </c>
      <c r="X19" t="s">
        <v>546</v>
      </c>
      <c r="Y19" t="s">
        <v>547</v>
      </c>
      <c r="Z19" t="s">
        <v>532</v>
      </c>
      <c r="AA19" t="s">
        <v>548</v>
      </c>
      <c r="AB19" t="s">
        <v>537</v>
      </c>
      <c r="AC19" t="s">
        <v>549</v>
      </c>
      <c r="AD19" t="s">
        <v>550</v>
      </c>
      <c r="AE19" t="s">
        <v>551</v>
      </c>
      <c r="AF19" t="s">
        <v>545</v>
      </c>
      <c r="AG19" t="s">
        <v>535</v>
      </c>
      <c r="AH19" t="s">
        <v>536</v>
      </c>
      <c r="AI19" t="s">
        <v>535</v>
      </c>
      <c r="AJ19" t="s">
        <v>527</v>
      </c>
      <c r="AK19" t="s">
        <v>552</v>
      </c>
      <c r="AL19" t="s">
        <v>553</v>
      </c>
      <c r="AM19" t="s">
        <v>554</v>
      </c>
      <c r="AN19" t="s">
        <v>555</v>
      </c>
      <c r="AO19" t="s">
        <v>556</v>
      </c>
      <c r="AP19" t="s">
        <v>557</v>
      </c>
    </row>
    <row r="20" spans="1:42" x14ac:dyDescent="0.25">
      <c r="A20" t="s">
        <v>558</v>
      </c>
      <c r="B20" t="s">
        <v>559</v>
      </c>
      <c r="C20" t="s">
        <v>560</v>
      </c>
      <c r="D20" t="s">
        <v>561</v>
      </c>
      <c r="E20" t="s">
        <v>562</v>
      </c>
      <c r="F20" t="s">
        <v>563</v>
      </c>
      <c r="G20" t="s">
        <v>564</v>
      </c>
      <c r="H20" t="s">
        <v>565</v>
      </c>
      <c r="I20" t="s">
        <v>558</v>
      </c>
      <c r="J20" t="s">
        <v>566</v>
      </c>
      <c r="K20" t="s">
        <v>567</v>
      </c>
      <c r="L20" t="s">
        <v>568</v>
      </c>
      <c r="M20" t="s">
        <v>569</v>
      </c>
      <c r="N20" t="s">
        <v>570</v>
      </c>
      <c r="O20" t="s">
        <v>558</v>
      </c>
      <c r="P20" t="s">
        <v>571</v>
      </c>
      <c r="Q20" t="s">
        <v>558</v>
      </c>
      <c r="R20" t="s">
        <v>572</v>
      </c>
      <c r="S20" t="s">
        <v>573</v>
      </c>
      <c r="T20" t="s">
        <v>574</v>
      </c>
      <c r="U20" t="s">
        <v>575</v>
      </c>
      <c r="V20" t="s">
        <v>576</v>
      </c>
      <c r="W20" t="s">
        <v>559</v>
      </c>
      <c r="X20" t="s">
        <v>577</v>
      </c>
      <c r="Y20" t="s">
        <v>578</v>
      </c>
      <c r="Z20" t="s">
        <v>579</v>
      </c>
      <c r="AA20" t="s">
        <v>580</v>
      </c>
      <c r="AB20" t="s">
        <v>581</v>
      </c>
      <c r="AC20" t="s">
        <v>582</v>
      </c>
      <c r="AD20" t="s">
        <v>583</v>
      </c>
      <c r="AE20" t="s">
        <v>584</v>
      </c>
      <c r="AF20" t="s">
        <v>559</v>
      </c>
      <c r="AG20" t="s">
        <v>566</v>
      </c>
      <c r="AH20" t="s">
        <v>585</v>
      </c>
      <c r="AI20" t="s">
        <v>586</v>
      </c>
      <c r="AJ20" t="s">
        <v>558</v>
      </c>
      <c r="AK20" t="s">
        <v>587</v>
      </c>
      <c r="AL20" t="s">
        <v>588</v>
      </c>
      <c r="AM20" t="s">
        <v>589</v>
      </c>
      <c r="AN20" t="s">
        <v>590</v>
      </c>
      <c r="AO20" t="s">
        <v>563</v>
      </c>
      <c r="AP20" t="s">
        <v>591</v>
      </c>
    </row>
    <row r="21" spans="1:42" x14ac:dyDescent="0.25">
      <c r="A21" t="s">
        <v>592</v>
      </c>
      <c r="B21" t="s">
        <v>593</v>
      </c>
      <c r="C21" t="s">
        <v>594</v>
      </c>
      <c r="D21" t="s">
        <v>595</v>
      </c>
      <c r="E21" t="s">
        <v>596</v>
      </c>
      <c r="F21" t="s">
        <v>597</v>
      </c>
      <c r="G21" t="s">
        <v>598</v>
      </c>
      <c r="H21" t="s">
        <v>599</v>
      </c>
      <c r="I21" t="s">
        <v>592</v>
      </c>
      <c r="J21" t="s">
        <v>600</v>
      </c>
      <c r="K21" t="s">
        <v>601</v>
      </c>
      <c r="L21" t="s">
        <v>602</v>
      </c>
      <c r="M21" t="s">
        <v>603</v>
      </c>
      <c r="N21" t="s">
        <v>604</v>
      </c>
      <c r="O21" t="s">
        <v>592</v>
      </c>
      <c r="P21" t="s">
        <v>605</v>
      </c>
      <c r="Q21" t="s">
        <v>592</v>
      </c>
      <c r="R21" t="s">
        <v>606</v>
      </c>
      <c r="S21" t="s">
        <v>607</v>
      </c>
      <c r="T21" t="s">
        <v>608</v>
      </c>
      <c r="U21" t="s">
        <v>609</v>
      </c>
      <c r="V21" t="s">
        <v>610</v>
      </c>
      <c r="W21" t="s">
        <v>611</v>
      </c>
      <c r="X21" t="s">
        <v>612</v>
      </c>
      <c r="Y21" t="s">
        <v>613</v>
      </c>
      <c r="Z21" t="s">
        <v>614</v>
      </c>
      <c r="AA21" t="s">
        <v>615</v>
      </c>
      <c r="AB21" t="s">
        <v>602</v>
      </c>
      <c r="AC21" t="s">
        <v>616</v>
      </c>
      <c r="AD21" t="s">
        <v>617</v>
      </c>
      <c r="AE21" t="s">
        <v>618</v>
      </c>
      <c r="AF21" t="s">
        <v>619</v>
      </c>
      <c r="AG21" t="s">
        <v>620</v>
      </c>
      <c r="AH21" t="s">
        <v>601</v>
      </c>
      <c r="AI21" t="s">
        <v>620</v>
      </c>
      <c r="AJ21" t="s">
        <v>592</v>
      </c>
      <c r="AK21" t="s">
        <v>602</v>
      </c>
      <c r="AL21" t="s">
        <v>621</v>
      </c>
      <c r="AM21" t="s">
        <v>622</v>
      </c>
      <c r="AN21" t="s">
        <v>623</v>
      </c>
      <c r="AO21" t="s">
        <v>624</v>
      </c>
      <c r="AP21" t="s">
        <v>625</v>
      </c>
    </row>
    <row r="22" spans="1:42" x14ac:dyDescent="0.25">
      <c r="A22" t="s">
        <v>626</v>
      </c>
      <c r="B22" t="s">
        <v>627</v>
      </c>
      <c r="C22" t="s">
        <v>628</v>
      </c>
      <c r="D22" t="s">
        <v>629</v>
      </c>
      <c r="E22" t="s">
        <v>630</v>
      </c>
      <c r="F22" t="s">
        <v>631</v>
      </c>
      <c r="G22" t="s">
        <v>632</v>
      </c>
      <c r="H22" t="s">
        <v>633</v>
      </c>
      <c r="I22" t="s">
        <v>626</v>
      </c>
      <c r="J22" t="s">
        <v>634</v>
      </c>
      <c r="K22" t="s">
        <v>635</v>
      </c>
      <c r="L22" t="s">
        <v>586</v>
      </c>
      <c r="M22" t="s">
        <v>636</v>
      </c>
      <c r="N22" t="s">
        <v>637</v>
      </c>
      <c r="O22" t="s">
        <v>626</v>
      </c>
      <c r="P22" t="s">
        <v>638</v>
      </c>
      <c r="Q22" t="s">
        <v>626</v>
      </c>
      <c r="R22" t="s">
        <v>639</v>
      </c>
      <c r="S22" t="s">
        <v>640</v>
      </c>
      <c r="T22" t="s">
        <v>641</v>
      </c>
      <c r="U22" t="s">
        <v>642</v>
      </c>
      <c r="V22" t="s">
        <v>643</v>
      </c>
      <c r="W22" t="s">
        <v>644</v>
      </c>
      <c r="X22" t="s">
        <v>645</v>
      </c>
      <c r="Y22" t="s">
        <v>646</v>
      </c>
      <c r="Z22" t="s">
        <v>647</v>
      </c>
      <c r="AA22" t="s">
        <v>648</v>
      </c>
      <c r="AB22" t="s">
        <v>649</v>
      </c>
      <c r="AC22" t="s">
        <v>650</v>
      </c>
      <c r="AD22" t="s">
        <v>651</v>
      </c>
      <c r="AE22" t="s">
        <v>652</v>
      </c>
      <c r="AF22" t="s">
        <v>653</v>
      </c>
      <c r="AG22" t="s">
        <v>634</v>
      </c>
      <c r="AH22" t="s">
        <v>654</v>
      </c>
      <c r="AI22" t="s">
        <v>634</v>
      </c>
      <c r="AJ22" t="s">
        <v>626</v>
      </c>
      <c r="AK22" t="s">
        <v>586</v>
      </c>
      <c r="AL22" t="s">
        <v>655</v>
      </c>
      <c r="AM22" t="s">
        <v>656</v>
      </c>
      <c r="AN22" t="s">
        <v>657</v>
      </c>
      <c r="AO22" t="s">
        <v>658</v>
      </c>
      <c r="AP22" t="s">
        <v>659</v>
      </c>
    </row>
    <row r="23" spans="1:42" x14ac:dyDescent="0.25">
      <c r="A23" t="s">
        <v>660</v>
      </c>
      <c r="B23" t="s">
        <v>661</v>
      </c>
      <c r="C23" t="s">
        <v>662</v>
      </c>
      <c r="D23" t="s">
        <v>663</v>
      </c>
      <c r="E23" t="s">
        <v>664</v>
      </c>
      <c r="F23" t="s">
        <v>665</v>
      </c>
      <c r="G23" t="s">
        <v>666</v>
      </c>
      <c r="H23" t="s">
        <v>667</v>
      </c>
      <c r="I23" t="s">
        <v>660</v>
      </c>
      <c r="J23" t="s">
        <v>668</v>
      </c>
      <c r="K23" t="s">
        <v>669</v>
      </c>
      <c r="L23" t="s">
        <v>670</v>
      </c>
      <c r="M23" t="s">
        <v>671</v>
      </c>
      <c r="N23" t="s">
        <v>672</v>
      </c>
      <c r="O23" t="s">
        <v>660</v>
      </c>
      <c r="P23" t="s">
        <v>673</v>
      </c>
      <c r="Q23" t="s">
        <v>660</v>
      </c>
      <c r="R23" t="s">
        <v>674</v>
      </c>
      <c r="S23" t="s">
        <v>675</v>
      </c>
      <c r="T23" t="s">
        <v>676</v>
      </c>
      <c r="U23" t="s">
        <v>677</v>
      </c>
      <c r="V23" t="s">
        <v>678</v>
      </c>
      <c r="W23" t="s">
        <v>679</v>
      </c>
      <c r="X23" t="s">
        <v>680</v>
      </c>
      <c r="Y23" t="s">
        <v>681</v>
      </c>
      <c r="Z23" t="s">
        <v>665</v>
      </c>
      <c r="AA23" t="s">
        <v>682</v>
      </c>
      <c r="AB23" t="s">
        <v>670</v>
      </c>
      <c r="AC23" t="s">
        <v>683</v>
      </c>
      <c r="AD23" t="s">
        <v>684</v>
      </c>
      <c r="AE23" t="s">
        <v>685</v>
      </c>
      <c r="AF23" t="s">
        <v>686</v>
      </c>
      <c r="AG23" t="s">
        <v>668</v>
      </c>
      <c r="AH23" t="s">
        <v>687</v>
      </c>
      <c r="AI23" t="s">
        <v>668</v>
      </c>
      <c r="AJ23" t="s">
        <v>660</v>
      </c>
      <c r="AK23" t="s">
        <v>670</v>
      </c>
      <c r="AL23" t="s">
        <v>688</v>
      </c>
      <c r="AM23" t="s">
        <v>689</v>
      </c>
      <c r="AN23" t="s">
        <v>690</v>
      </c>
      <c r="AO23" t="s">
        <v>691</v>
      </c>
      <c r="AP23" t="s">
        <v>692</v>
      </c>
    </row>
    <row r="24" spans="1:42" x14ac:dyDescent="0.25">
      <c r="A24" t="s">
        <v>693</v>
      </c>
      <c r="B24" t="s">
        <v>694</v>
      </c>
      <c r="C24" t="s">
        <v>695</v>
      </c>
      <c r="D24" t="s">
        <v>696</v>
      </c>
      <c r="E24" t="s">
        <v>697</v>
      </c>
      <c r="F24" t="s">
        <v>698</v>
      </c>
      <c r="G24" t="s">
        <v>699</v>
      </c>
      <c r="H24" t="s">
        <v>700</v>
      </c>
      <c r="I24" t="s">
        <v>693</v>
      </c>
      <c r="J24" t="s">
        <v>701</v>
      </c>
      <c r="K24" t="s">
        <v>702</v>
      </c>
      <c r="L24" t="s">
        <v>703</v>
      </c>
      <c r="M24" t="s">
        <v>704</v>
      </c>
      <c r="N24" t="s">
        <v>705</v>
      </c>
      <c r="O24" t="s">
        <v>693</v>
      </c>
      <c r="P24" t="s">
        <v>706</v>
      </c>
      <c r="Q24" t="s">
        <v>693</v>
      </c>
      <c r="R24" t="s">
        <v>707</v>
      </c>
      <c r="S24" t="s">
        <v>708</v>
      </c>
      <c r="T24" t="s">
        <v>709</v>
      </c>
      <c r="U24" t="s">
        <v>710</v>
      </c>
      <c r="V24" t="s">
        <v>711</v>
      </c>
      <c r="W24" t="s">
        <v>710</v>
      </c>
      <c r="X24" t="s">
        <v>712</v>
      </c>
      <c r="Y24" t="s">
        <v>713</v>
      </c>
      <c r="Z24" t="s">
        <v>714</v>
      </c>
      <c r="AA24" t="s">
        <v>715</v>
      </c>
      <c r="AB24" t="s">
        <v>703</v>
      </c>
      <c r="AC24" t="s">
        <v>716</v>
      </c>
      <c r="AD24" t="s">
        <v>702</v>
      </c>
      <c r="AE24" t="s">
        <v>710</v>
      </c>
      <c r="AF24" t="s">
        <v>717</v>
      </c>
      <c r="AG24" t="s">
        <v>701</v>
      </c>
      <c r="AH24" t="s">
        <v>702</v>
      </c>
      <c r="AI24" t="s">
        <v>718</v>
      </c>
      <c r="AJ24" t="s">
        <v>693</v>
      </c>
      <c r="AK24" t="s">
        <v>719</v>
      </c>
      <c r="AL24" t="s">
        <v>720</v>
      </c>
      <c r="AM24" t="s">
        <v>721</v>
      </c>
      <c r="AN24" t="s">
        <v>722</v>
      </c>
      <c r="AO24" t="s">
        <v>723</v>
      </c>
      <c r="AP24" t="s">
        <v>724</v>
      </c>
    </row>
    <row r="25" spans="1:42" x14ac:dyDescent="0.25">
      <c r="A25" t="s">
        <v>725</v>
      </c>
      <c r="B25" t="s">
        <v>725</v>
      </c>
      <c r="C25" t="s">
        <v>726</v>
      </c>
      <c r="D25" t="s">
        <v>727</v>
      </c>
      <c r="E25" t="s">
        <v>728</v>
      </c>
      <c r="F25" t="s">
        <v>729</v>
      </c>
      <c r="G25" t="s">
        <v>730</v>
      </c>
      <c r="H25" t="s">
        <v>731</v>
      </c>
      <c r="I25" t="s">
        <v>725</v>
      </c>
      <c r="J25" t="s">
        <v>732</v>
      </c>
      <c r="K25" t="s">
        <v>725</v>
      </c>
      <c r="L25" t="s">
        <v>725</v>
      </c>
      <c r="M25" t="s">
        <v>725</v>
      </c>
      <c r="N25" t="s">
        <v>725</v>
      </c>
      <c r="O25" t="s">
        <v>733</v>
      </c>
      <c r="P25" t="s">
        <v>734</v>
      </c>
      <c r="Q25" t="s">
        <v>725</v>
      </c>
      <c r="R25" t="s">
        <v>735</v>
      </c>
      <c r="S25" t="s">
        <v>736</v>
      </c>
      <c r="T25" t="s">
        <v>725</v>
      </c>
      <c r="U25" t="s">
        <v>725</v>
      </c>
      <c r="V25" t="s">
        <v>725</v>
      </c>
      <c r="W25" t="s">
        <v>730</v>
      </c>
      <c r="X25" t="s">
        <v>737</v>
      </c>
      <c r="Y25" t="s">
        <v>738</v>
      </c>
      <c r="Z25" t="s">
        <v>739</v>
      </c>
      <c r="AA25" t="s">
        <v>725</v>
      </c>
      <c r="AB25" t="s">
        <v>725</v>
      </c>
      <c r="AC25" t="s">
        <v>740</v>
      </c>
      <c r="AD25" t="s">
        <v>741</v>
      </c>
      <c r="AE25" t="s">
        <v>725</v>
      </c>
      <c r="AF25" t="s">
        <v>742</v>
      </c>
      <c r="AG25" t="s">
        <v>725</v>
      </c>
      <c r="AH25" t="s">
        <v>725</v>
      </c>
      <c r="AI25" t="s">
        <v>725</v>
      </c>
      <c r="AJ25" t="s">
        <v>743</v>
      </c>
      <c r="AK25" t="s">
        <v>744</v>
      </c>
      <c r="AL25" t="s">
        <v>745</v>
      </c>
      <c r="AM25" t="s">
        <v>746</v>
      </c>
      <c r="AN25" t="s">
        <v>747</v>
      </c>
      <c r="AO25" t="s">
        <v>748</v>
      </c>
      <c r="AP25" t="s">
        <v>749</v>
      </c>
    </row>
    <row r="26" spans="1:42" x14ac:dyDescent="0.25">
      <c r="A26" t="s">
        <v>750</v>
      </c>
      <c r="B26" t="s">
        <v>751</v>
      </c>
      <c r="C26" t="s">
        <v>752</v>
      </c>
      <c r="D26" t="s">
        <v>753</v>
      </c>
      <c r="E26" t="s">
        <v>754</v>
      </c>
      <c r="F26" t="s">
        <v>755</v>
      </c>
      <c r="G26" t="s">
        <v>750</v>
      </c>
      <c r="H26" t="s">
        <v>756</v>
      </c>
      <c r="I26" t="s">
        <v>750</v>
      </c>
      <c r="J26" t="s">
        <v>757</v>
      </c>
      <c r="K26" t="s">
        <v>750</v>
      </c>
      <c r="L26" t="s">
        <v>750</v>
      </c>
      <c r="M26" t="s">
        <v>750</v>
      </c>
      <c r="N26" t="s">
        <v>750</v>
      </c>
      <c r="O26" t="s">
        <v>758</v>
      </c>
      <c r="P26" t="s">
        <v>759</v>
      </c>
      <c r="Q26" t="s">
        <v>750</v>
      </c>
      <c r="R26" t="s">
        <v>760</v>
      </c>
      <c r="S26" t="s">
        <v>761</v>
      </c>
      <c r="T26" t="s">
        <v>750</v>
      </c>
      <c r="U26" t="s">
        <v>762</v>
      </c>
      <c r="V26" t="s">
        <v>750</v>
      </c>
      <c r="W26" t="s">
        <v>750</v>
      </c>
      <c r="X26" t="s">
        <v>763</v>
      </c>
      <c r="Y26" t="s">
        <v>512</v>
      </c>
      <c r="Z26" t="s">
        <v>764</v>
      </c>
      <c r="AA26" t="s">
        <v>765</v>
      </c>
      <c r="AB26" t="s">
        <v>750</v>
      </c>
      <c r="AC26" t="s">
        <v>766</v>
      </c>
      <c r="AD26" t="s">
        <v>767</v>
      </c>
      <c r="AE26" t="s">
        <v>754</v>
      </c>
      <c r="AF26" t="s">
        <v>750</v>
      </c>
      <c r="AG26" t="s">
        <v>750</v>
      </c>
      <c r="AH26" t="s">
        <v>750</v>
      </c>
      <c r="AI26" t="s">
        <v>750</v>
      </c>
      <c r="AJ26" t="s">
        <v>750</v>
      </c>
      <c r="AK26" t="s">
        <v>750</v>
      </c>
      <c r="AL26" t="s">
        <v>768</v>
      </c>
      <c r="AM26" t="s">
        <v>769</v>
      </c>
      <c r="AN26" t="s">
        <v>770</v>
      </c>
      <c r="AO26" t="s">
        <v>771</v>
      </c>
      <c r="AP26" t="s">
        <v>772</v>
      </c>
    </row>
    <row r="27" spans="1:42" x14ac:dyDescent="0.25">
      <c r="A27" t="s">
        <v>559</v>
      </c>
      <c r="B27" t="s">
        <v>559</v>
      </c>
      <c r="C27" t="s">
        <v>773</v>
      </c>
      <c r="D27" t="s">
        <v>774</v>
      </c>
      <c r="E27" t="s">
        <v>559</v>
      </c>
      <c r="F27" t="s">
        <v>775</v>
      </c>
      <c r="G27" t="s">
        <v>559</v>
      </c>
      <c r="H27" t="s">
        <v>776</v>
      </c>
      <c r="I27" t="s">
        <v>559</v>
      </c>
      <c r="J27" t="s">
        <v>777</v>
      </c>
      <c r="K27" t="s">
        <v>559</v>
      </c>
      <c r="L27" t="s">
        <v>559</v>
      </c>
      <c r="M27" t="s">
        <v>778</v>
      </c>
      <c r="N27" t="s">
        <v>559</v>
      </c>
      <c r="O27" t="s">
        <v>779</v>
      </c>
      <c r="P27" t="s">
        <v>780</v>
      </c>
      <c r="Q27" t="s">
        <v>781</v>
      </c>
      <c r="R27" t="s">
        <v>782</v>
      </c>
      <c r="S27" t="s">
        <v>783</v>
      </c>
      <c r="T27" t="s">
        <v>784</v>
      </c>
      <c r="U27" t="s">
        <v>559</v>
      </c>
      <c r="V27" t="s">
        <v>559</v>
      </c>
      <c r="W27" t="s">
        <v>559</v>
      </c>
      <c r="X27" t="s">
        <v>785</v>
      </c>
      <c r="Y27" t="s">
        <v>786</v>
      </c>
      <c r="Z27" t="s">
        <v>787</v>
      </c>
      <c r="AA27" t="s">
        <v>559</v>
      </c>
      <c r="AB27" t="s">
        <v>559</v>
      </c>
      <c r="AC27" t="s">
        <v>788</v>
      </c>
      <c r="AD27" t="s">
        <v>559</v>
      </c>
      <c r="AE27" t="s">
        <v>559</v>
      </c>
      <c r="AF27" t="s">
        <v>559</v>
      </c>
      <c r="AG27" t="s">
        <v>559</v>
      </c>
      <c r="AH27" t="s">
        <v>559</v>
      </c>
      <c r="AI27" t="s">
        <v>559</v>
      </c>
      <c r="AJ27" t="s">
        <v>559</v>
      </c>
      <c r="AK27" t="s">
        <v>789</v>
      </c>
      <c r="AL27" t="s">
        <v>790</v>
      </c>
      <c r="AM27" t="s">
        <v>559</v>
      </c>
      <c r="AN27" t="s">
        <v>791</v>
      </c>
      <c r="AO27" t="s">
        <v>792</v>
      </c>
      <c r="AP27" t="s">
        <v>793</v>
      </c>
    </row>
    <row r="28" spans="1:42" x14ac:dyDescent="0.25">
      <c r="A28" t="s">
        <v>794</v>
      </c>
      <c r="B28" t="s">
        <v>795</v>
      </c>
      <c r="C28" t="s">
        <v>796</v>
      </c>
      <c r="D28" t="s">
        <v>797</v>
      </c>
      <c r="E28" t="s">
        <v>794</v>
      </c>
      <c r="F28" t="s">
        <v>798</v>
      </c>
      <c r="G28" t="s">
        <v>799</v>
      </c>
      <c r="H28" t="s">
        <v>800</v>
      </c>
      <c r="I28" t="s">
        <v>794</v>
      </c>
      <c r="J28" t="s">
        <v>801</v>
      </c>
      <c r="K28" t="s">
        <v>794</v>
      </c>
      <c r="L28" t="s">
        <v>794</v>
      </c>
      <c r="M28" t="s">
        <v>794</v>
      </c>
      <c r="N28" t="s">
        <v>794</v>
      </c>
      <c r="O28" t="s">
        <v>802</v>
      </c>
      <c r="P28" t="s">
        <v>803</v>
      </c>
      <c r="Q28" t="s">
        <v>794</v>
      </c>
      <c r="R28" t="s">
        <v>804</v>
      </c>
      <c r="S28" t="s">
        <v>805</v>
      </c>
      <c r="T28" t="s">
        <v>806</v>
      </c>
      <c r="U28" t="s">
        <v>794</v>
      </c>
      <c r="V28" t="s">
        <v>794</v>
      </c>
      <c r="W28" t="s">
        <v>794</v>
      </c>
      <c r="X28" t="s">
        <v>807</v>
      </c>
      <c r="Y28" t="s">
        <v>808</v>
      </c>
      <c r="Z28" t="s">
        <v>809</v>
      </c>
      <c r="AA28" t="s">
        <v>794</v>
      </c>
      <c r="AB28" t="s">
        <v>794</v>
      </c>
      <c r="AC28" t="s">
        <v>810</v>
      </c>
      <c r="AD28" t="s">
        <v>811</v>
      </c>
      <c r="AE28" t="s">
        <v>799</v>
      </c>
      <c r="AF28" t="s">
        <v>794</v>
      </c>
      <c r="AG28" t="s">
        <v>794</v>
      </c>
      <c r="AH28" t="s">
        <v>794</v>
      </c>
      <c r="AI28" t="s">
        <v>794</v>
      </c>
      <c r="AJ28" t="s">
        <v>799</v>
      </c>
      <c r="AK28" t="s">
        <v>812</v>
      </c>
      <c r="AL28" t="s">
        <v>813</v>
      </c>
      <c r="AM28" t="s">
        <v>814</v>
      </c>
      <c r="AN28" t="s">
        <v>815</v>
      </c>
      <c r="AO28" t="s">
        <v>816</v>
      </c>
      <c r="AP28" t="s">
        <v>817</v>
      </c>
    </row>
    <row r="29" spans="1:42" x14ac:dyDescent="0.25">
      <c r="A29" t="s">
        <v>818</v>
      </c>
      <c r="B29" t="s">
        <v>819</v>
      </c>
      <c r="C29" t="s">
        <v>820</v>
      </c>
      <c r="D29" t="s">
        <v>821</v>
      </c>
      <c r="E29" t="s">
        <v>818</v>
      </c>
      <c r="F29" t="s">
        <v>822</v>
      </c>
      <c r="G29" t="s">
        <v>823</v>
      </c>
      <c r="H29" t="s">
        <v>824</v>
      </c>
      <c r="I29" t="s">
        <v>818</v>
      </c>
      <c r="J29" t="s">
        <v>825</v>
      </c>
      <c r="K29" t="s">
        <v>818</v>
      </c>
      <c r="L29" t="s">
        <v>819</v>
      </c>
      <c r="M29" t="s">
        <v>826</v>
      </c>
      <c r="N29" t="s">
        <v>823</v>
      </c>
      <c r="O29" t="s">
        <v>823</v>
      </c>
      <c r="P29" t="s">
        <v>827</v>
      </c>
      <c r="Q29" t="s">
        <v>823</v>
      </c>
      <c r="R29" t="s">
        <v>828</v>
      </c>
      <c r="S29" t="s">
        <v>829</v>
      </c>
      <c r="T29" t="s">
        <v>830</v>
      </c>
      <c r="U29" t="s">
        <v>826</v>
      </c>
      <c r="V29" t="s">
        <v>831</v>
      </c>
      <c r="W29" t="s">
        <v>832</v>
      </c>
      <c r="X29" t="s">
        <v>833</v>
      </c>
      <c r="Y29" t="s">
        <v>834</v>
      </c>
      <c r="Z29" t="s">
        <v>835</v>
      </c>
      <c r="AA29" t="s">
        <v>836</v>
      </c>
      <c r="AB29" t="s">
        <v>823</v>
      </c>
      <c r="AC29" t="s">
        <v>837</v>
      </c>
      <c r="AD29" t="s">
        <v>819</v>
      </c>
      <c r="AE29" t="s">
        <v>823</v>
      </c>
      <c r="AF29" t="s">
        <v>823</v>
      </c>
      <c r="AG29" t="s">
        <v>819</v>
      </c>
      <c r="AH29" t="s">
        <v>830</v>
      </c>
      <c r="AI29" t="s">
        <v>819</v>
      </c>
      <c r="AJ29" t="s">
        <v>818</v>
      </c>
      <c r="AK29" t="s">
        <v>838</v>
      </c>
      <c r="AL29" t="s">
        <v>839</v>
      </c>
      <c r="AM29" t="s">
        <v>818</v>
      </c>
      <c r="AN29" t="s">
        <v>840</v>
      </c>
      <c r="AO29" t="s">
        <v>841</v>
      </c>
      <c r="AP29" t="s">
        <v>842</v>
      </c>
    </row>
    <row r="30" spans="1:42" x14ac:dyDescent="0.25">
      <c r="A30" t="s">
        <v>843</v>
      </c>
      <c r="B30" t="s">
        <v>844</v>
      </c>
      <c r="C30" t="s">
        <v>845</v>
      </c>
      <c r="D30" t="s">
        <v>846</v>
      </c>
      <c r="E30" t="s">
        <v>847</v>
      </c>
      <c r="F30" t="s">
        <v>848</v>
      </c>
      <c r="G30" t="s">
        <v>843</v>
      </c>
      <c r="H30" t="s">
        <v>849</v>
      </c>
      <c r="I30" t="s">
        <v>843</v>
      </c>
      <c r="J30" t="s">
        <v>850</v>
      </c>
      <c r="K30" t="s">
        <v>851</v>
      </c>
      <c r="L30" t="s">
        <v>843</v>
      </c>
      <c r="M30" t="s">
        <v>843</v>
      </c>
      <c r="N30" t="s">
        <v>843</v>
      </c>
      <c r="O30" t="s">
        <v>852</v>
      </c>
      <c r="P30" t="s">
        <v>853</v>
      </c>
      <c r="Q30" t="s">
        <v>843</v>
      </c>
      <c r="R30" t="s">
        <v>854</v>
      </c>
      <c r="S30" t="s">
        <v>855</v>
      </c>
      <c r="T30" t="s">
        <v>856</v>
      </c>
      <c r="U30" t="s">
        <v>843</v>
      </c>
      <c r="V30" t="s">
        <v>856</v>
      </c>
      <c r="W30" t="s">
        <v>857</v>
      </c>
      <c r="X30" t="s">
        <v>858</v>
      </c>
      <c r="Y30" t="s">
        <v>859</v>
      </c>
      <c r="Z30" t="s">
        <v>860</v>
      </c>
      <c r="AA30" t="s">
        <v>861</v>
      </c>
      <c r="AB30" t="s">
        <v>843</v>
      </c>
      <c r="AC30" t="s">
        <v>862</v>
      </c>
      <c r="AD30" t="s">
        <v>863</v>
      </c>
      <c r="AE30" t="s">
        <v>843</v>
      </c>
      <c r="AF30" t="s">
        <v>864</v>
      </c>
      <c r="AG30" t="s">
        <v>843</v>
      </c>
      <c r="AH30" t="s">
        <v>856</v>
      </c>
      <c r="AI30" t="s">
        <v>843</v>
      </c>
      <c r="AJ30" t="s">
        <v>843</v>
      </c>
      <c r="AK30" t="s">
        <v>865</v>
      </c>
      <c r="AL30" t="s">
        <v>866</v>
      </c>
      <c r="AM30" t="s">
        <v>867</v>
      </c>
      <c r="AN30" t="s">
        <v>868</v>
      </c>
      <c r="AO30" t="s">
        <v>869</v>
      </c>
      <c r="AP30" t="s">
        <v>870</v>
      </c>
    </row>
    <row r="31" spans="1:42" x14ac:dyDescent="0.25">
      <c r="A31" t="s">
        <v>871</v>
      </c>
      <c r="B31" t="s">
        <v>872</v>
      </c>
      <c r="C31" t="s">
        <v>873</v>
      </c>
      <c r="D31" t="s">
        <v>874</v>
      </c>
      <c r="E31" t="s">
        <v>875</v>
      </c>
      <c r="F31" t="s">
        <v>876</v>
      </c>
      <c r="G31" t="s">
        <v>871</v>
      </c>
      <c r="H31" t="s">
        <v>877</v>
      </c>
      <c r="I31" t="s">
        <v>871</v>
      </c>
      <c r="J31" t="s">
        <v>878</v>
      </c>
      <c r="K31" t="s">
        <v>879</v>
      </c>
      <c r="L31" t="s">
        <v>871</v>
      </c>
      <c r="M31" t="s">
        <v>871</v>
      </c>
      <c r="N31" t="s">
        <v>871</v>
      </c>
      <c r="O31" t="s">
        <v>880</v>
      </c>
      <c r="P31" t="s">
        <v>881</v>
      </c>
      <c r="Q31" t="s">
        <v>871</v>
      </c>
      <c r="R31" t="s">
        <v>882</v>
      </c>
      <c r="S31" t="s">
        <v>883</v>
      </c>
      <c r="T31" t="s">
        <v>884</v>
      </c>
      <c r="U31" t="s">
        <v>871</v>
      </c>
      <c r="V31" t="s">
        <v>884</v>
      </c>
      <c r="W31" t="s">
        <v>885</v>
      </c>
      <c r="X31" t="s">
        <v>886</v>
      </c>
      <c r="Y31" t="s">
        <v>887</v>
      </c>
      <c r="Z31" t="s">
        <v>888</v>
      </c>
      <c r="AA31" t="s">
        <v>889</v>
      </c>
      <c r="AB31" t="s">
        <v>871</v>
      </c>
      <c r="AC31" t="s">
        <v>890</v>
      </c>
      <c r="AD31" t="s">
        <v>850</v>
      </c>
      <c r="AE31" t="s">
        <v>871</v>
      </c>
      <c r="AF31" t="s">
        <v>891</v>
      </c>
      <c r="AG31" t="s">
        <v>871</v>
      </c>
      <c r="AH31" t="s">
        <v>884</v>
      </c>
      <c r="AI31" t="s">
        <v>871</v>
      </c>
      <c r="AJ31" t="s">
        <v>871</v>
      </c>
      <c r="AK31" t="s">
        <v>892</v>
      </c>
      <c r="AL31" t="s">
        <v>893</v>
      </c>
      <c r="AM31" t="s">
        <v>894</v>
      </c>
      <c r="AN31" t="s">
        <v>895</v>
      </c>
      <c r="AO31" t="s">
        <v>896</v>
      </c>
      <c r="AP31" t="s">
        <v>897</v>
      </c>
    </row>
    <row r="32" spans="1:42" x14ac:dyDescent="0.25">
      <c r="A32" t="s">
        <v>898</v>
      </c>
      <c r="B32" t="s">
        <v>899</v>
      </c>
      <c r="C32" t="s">
        <v>900</v>
      </c>
      <c r="D32" t="s">
        <v>901</v>
      </c>
      <c r="E32" t="s">
        <v>902</v>
      </c>
      <c r="F32" t="s">
        <v>903</v>
      </c>
      <c r="G32" t="s">
        <v>904</v>
      </c>
      <c r="H32" t="s">
        <v>905</v>
      </c>
      <c r="I32" t="s">
        <v>898</v>
      </c>
      <c r="J32" t="s">
        <v>906</v>
      </c>
      <c r="K32" t="s">
        <v>898</v>
      </c>
      <c r="L32" t="s">
        <v>898</v>
      </c>
      <c r="M32" t="s">
        <v>898</v>
      </c>
      <c r="N32" t="s">
        <v>898</v>
      </c>
      <c r="O32" t="s">
        <v>907</v>
      </c>
      <c r="P32" t="s">
        <v>908</v>
      </c>
      <c r="Q32" t="s">
        <v>898</v>
      </c>
      <c r="R32" t="s">
        <v>909</v>
      </c>
      <c r="S32" t="s">
        <v>910</v>
      </c>
      <c r="T32" t="s">
        <v>898</v>
      </c>
      <c r="U32" t="s">
        <v>911</v>
      </c>
      <c r="V32" t="s">
        <v>912</v>
      </c>
      <c r="W32" t="s">
        <v>904</v>
      </c>
      <c r="X32" t="s">
        <v>913</v>
      </c>
      <c r="Y32" t="s">
        <v>914</v>
      </c>
      <c r="Z32" t="s">
        <v>915</v>
      </c>
      <c r="AA32" t="s">
        <v>916</v>
      </c>
      <c r="AB32" t="s">
        <v>898</v>
      </c>
      <c r="AC32" t="s">
        <v>917</v>
      </c>
      <c r="AD32" t="s">
        <v>918</v>
      </c>
      <c r="AE32" t="s">
        <v>904</v>
      </c>
      <c r="AF32" t="s">
        <v>898</v>
      </c>
      <c r="AG32" t="s">
        <v>919</v>
      </c>
      <c r="AH32" t="s">
        <v>898</v>
      </c>
      <c r="AI32" t="s">
        <v>919</v>
      </c>
      <c r="AJ32" t="s">
        <v>904</v>
      </c>
      <c r="AK32" t="s">
        <v>898</v>
      </c>
      <c r="AL32" t="s">
        <v>920</v>
      </c>
      <c r="AM32" t="s">
        <v>921</v>
      </c>
      <c r="AN32" t="s">
        <v>922</v>
      </c>
      <c r="AO32" t="s">
        <v>923</v>
      </c>
      <c r="AP32" t="s">
        <v>924</v>
      </c>
    </row>
    <row r="33" spans="1:42" x14ac:dyDescent="0.25">
      <c r="A33" t="s">
        <v>925</v>
      </c>
      <c r="B33" t="s">
        <v>926</v>
      </c>
      <c r="C33" t="s">
        <v>927</v>
      </c>
      <c r="D33" t="s">
        <v>928</v>
      </c>
      <c r="E33" t="s">
        <v>544</v>
      </c>
      <c r="F33" t="s">
        <v>929</v>
      </c>
      <c r="G33" t="s">
        <v>930</v>
      </c>
      <c r="H33" t="s">
        <v>931</v>
      </c>
      <c r="I33" t="s">
        <v>925</v>
      </c>
      <c r="J33" t="s">
        <v>932</v>
      </c>
      <c r="K33" t="s">
        <v>925</v>
      </c>
      <c r="L33" t="s">
        <v>925</v>
      </c>
      <c r="M33" t="s">
        <v>925</v>
      </c>
      <c r="N33" t="s">
        <v>925</v>
      </c>
      <c r="O33" t="s">
        <v>933</v>
      </c>
      <c r="P33" t="s">
        <v>934</v>
      </c>
      <c r="Q33" t="s">
        <v>925</v>
      </c>
      <c r="R33" t="s">
        <v>935</v>
      </c>
      <c r="S33" t="s">
        <v>936</v>
      </c>
      <c r="T33" t="s">
        <v>937</v>
      </c>
      <c r="U33" t="s">
        <v>925</v>
      </c>
      <c r="V33" t="s">
        <v>925</v>
      </c>
      <c r="W33" t="s">
        <v>930</v>
      </c>
      <c r="X33" t="s">
        <v>938</v>
      </c>
      <c r="Y33" t="s">
        <v>939</v>
      </c>
      <c r="Z33" t="s">
        <v>940</v>
      </c>
      <c r="AA33" t="s">
        <v>930</v>
      </c>
      <c r="AB33" t="s">
        <v>925</v>
      </c>
      <c r="AC33" t="s">
        <v>941</v>
      </c>
      <c r="AD33" t="s">
        <v>942</v>
      </c>
      <c r="AE33" t="s">
        <v>930</v>
      </c>
      <c r="AF33" t="s">
        <v>925</v>
      </c>
      <c r="AG33" t="s">
        <v>925</v>
      </c>
      <c r="AH33" t="s">
        <v>925</v>
      </c>
      <c r="AI33" t="s">
        <v>925</v>
      </c>
      <c r="AJ33" t="s">
        <v>925</v>
      </c>
      <c r="AK33" t="s">
        <v>943</v>
      </c>
      <c r="AL33" t="s">
        <v>944</v>
      </c>
      <c r="AM33" t="s">
        <v>945</v>
      </c>
      <c r="AN33" t="s">
        <v>946</v>
      </c>
      <c r="AO33" t="s">
        <v>947</v>
      </c>
      <c r="AP33" t="s">
        <v>948</v>
      </c>
    </row>
    <row r="34" spans="1:42" x14ac:dyDescent="0.25">
      <c r="A34" t="s">
        <v>949</v>
      </c>
      <c r="B34" t="s">
        <v>950</v>
      </c>
      <c r="C34" t="s">
        <v>951</v>
      </c>
      <c r="D34" t="s">
        <v>952</v>
      </c>
      <c r="E34" t="s">
        <v>953</v>
      </c>
      <c r="F34" t="s">
        <v>954</v>
      </c>
      <c r="G34" t="s">
        <v>949</v>
      </c>
      <c r="H34" t="s">
        <v>955</v>
      </c>
      <c r="I34" t="s">
        <v>949</v>
      </c>
      <c r="J34" t="s">
        <v>956</v>
      </c>
      <c r="K34" t="s">
        <v>949</v>
      </c>
      <c r="L34" t="s">
        <v>953</v>
      </c>
      <c r="M34" t="s">
        <v>953</v>
      </c>
      <c r="N34" t="s">
        <v>953</v>
      </c>
      <c r="O34" t="s">
        <v>949</v>
      </c>
      <c r="P34" t="s">
        <v>957</v>
      </c>
      <c r="Q34" t="s">
        <v>953</v>
      </c>
      <c r="R34" t="s">
        <v>958</v>
      </c>
      <c r="S34" t="s">
        <v>959</v>
      </c>
      <c r="T34" t="s">
        <v>953</v>
      </c>
      <c r="U34" t="s">
        <v>953</v>
      </c>
      <c r="V34" t="s">
        <v>953</v>
      </c>
      <c r="W34" t="s">
        <v>960</v>
      </c>
      <c r="X34" t="s">
        <v>961</v>
      </c>
      <c r="Y34" t="s">
        <v>962</v>
      </c>
      <c r="Z34" t="s">
        <v>963</v>
      </c>
      <c r="AA34" t="s">
        <v>960</v>
      </c>
      <c r="AB34" t="s">
        <v>953</v>
      </c>
      <c r="AC34" t="s">
        <v>964</v>
      </c>
      <c r="AD34" t="s">
        <v>965</v>
      </c>
      <c r="AE34" t="s">
        <v>966</v>
      </c>
      <c r="AF34" t="s">
        <v>949</v>
      </c>
      <c r="AG34" t="s">
        <v>953</v>
      </c>
      <c r="AH34" t="s">
        <v>953</v>
      </c>
      <c r="AI34" t="s">
        <v>949</v>
      </c>
      <c r="AJ34" t="s">
        <v>949</v>
      </c>
      <c r="AK34" t="s">
        <v>967</v>
      </c>
      <c r="AL34" t="s">
        <v>968</v>
      </c>
      <c r="AM34" t="s">
        <v>969</v>
      </c>
      <c r="AN34" t="s">
        <v>970</v>
      </c>
      <c r="AO34" t="s">
        <v>971</v>
      </c>
      <c r="AP34" t="s">
        <v>972</v>
      </c>
    </row>
    <row r="35" spans="1:42" x14ac:dyDescent="0.25">
      <c r="A35" t="s">
        <v>973</v>
      </c>
      <c r="B35" t="s">
        <v>974</v>
      </c>
      <c r="C35" t="s">
        <v>975</v>
      </c>
      <c r="D35" t="s">
        <v>976</v>
      </c>
      <c r="E35" t="s">
        <v>977</v>
      </c>
      <c r="F35" t="s">
        <v>978</v>
      </c>
      <c r="G35" t="s">
        <v>973</v>
      </c>
      <c r="H35" t="s">
        <v>979</v>
      </c>
      <c r="I35" t="s">
        <v>973</v>
      </c>
      <c r="J35" t="s">
        <v>980</v>
      </c>
      <c r="K35" t="s">
        <v>973</v>
      </c>
      <c r="L35" t="s">
        <v>973</v>
      </c>
      <c r="M35" t="s">
        <v>973</v>
      </c>
      <c r="N35" t="s">
        <v>973</v>
      </c>
      <c r="O35" t="s">
        <v>973</v>
      </c>
      <c r="P35" t="s">
        <v>981</v>
      </c>
      <c r="Q35" t="s">
        <v>973</v>
      </c>
      <c r="R35" t="s">
        <v>982</v>
      </c>
      <c r="S35" t="s">
        <v>983</v>
      </c>
      <c r="T35" t="s">
        <v>973</v>
      </c>
      <c r="U35" t="s">
        <v>984</v>
      </c>
      <c r="V35" t="s">
        <v>985</v>
      </c>
      <c r="W35" t="s">
        <v>973</v>
      </c>
      <c r="X35" t="s">
        <v>986</v>
      </c>
      <c r="Y35" t="s">
        <v>987</v>
      </c>
      <c r="Z35" t="s">
        <v>988</v>
      </c>
      <c r="AA35" t="s">
        <v>973</v>
      </c>
      <c r="AB35" t="s">
        <v>973</v>
      </c>
      <c r="AC35" t="s">
        <v>989</v>
      </c>
      <c r="AD35" t="s">
        <v>956</v>
      </c>
      <c r="AE35" t="s">
        <v>973</v>
      </c>
      <c r="AF35" t="s">
        <v>990</v>
      </c>
      <c r="AG35" t="s">
        <v>973</v>
      </c>
      <c r="AH35" t="s">
        <v>973</v>
      </c>
      <c r="AI35" t="s">
        <v>973</v>
      </c>
      <c r="AJ35" t="s">
        <v>973</v>
      </c>
      <c r="AK35" t="s">
        <v>991</v>
      </c>
      <c r="AL35" t="s">
        <v>992</v>
      </c>
      <c r="AM35" t="s">
        <v>993</v>
      </c>
      <c r="AN35" t="s">
        <v>994</v>
      </c>
      <c r="AO35" t="s">
        <v>995</v>
      </c>
      <c r="AP35" t="s">
        <v>996</v>
      </c>
    </row>
    <row r="36" spans="1:42" x14ac:dyDescent="0.25">
      <c r="A36" t="s">
        <v>997</v>
      </c>
      <c r="B36" t="s">
        <v>998</v>
      </c>
      <c r="C36" t="s">
        <v>999</v>
      </c>
      <c r="D36" t="s">
        <v>1000</v>
      </c>
      <c r="E36" t="s">
        <v>1001</v>
      </c>
      <c r="F36" t="s">
        <v>1002</v>
      </c>
      <c r="G36" t="s">
        <v>1003</v>
      </c>
      <c r="H36" t="s">
        <v>1004</v>
      </c>
      <c r="I36" t="s">
        <v>997</v>
      </c>
      <c r="J36" t="s">
        <v>1005</v>
      </c>
      <c r="K36" t="s">
        <v>997</v>
      </c>
      <c r="L36" t="s">
        <v>997</v>
      </c>
      <c r="M36" t="s">
        <v>997</v>
      </c>
      <c r="N36" t="s">
        <v>1003</v>
      </c>
      <c r="O36" t="s">
        <v>1006</v>
      </c>
      <c r="P36" t="s">
        <v>1007</v>
      </c>
      <c r="Q36" t="s">
        <v>1008</v>
      </c>
      <c r="R36" t="s">
        <v>1009</v>
      </c>
      <c r="S36" t="s">
        <v>1010</v>
      </c>
      <c r="T36" t="s">
        <v>997</v>
      </c>
      <c r="U36" t="s">
        <v>1003</v>
      </c>
      <c r="V36" t="s">
        <v>1003</v>
      </c>
      <c r="W36" t="s">
        <v>1011</v>
      </c>
      <c r="X36" t="s">
        <v>1012</v>
      </c>
      <c r="Y36" t="s">
        <v>1013</v>
      </c>
      <c r="Z36" t="s">
        <v>1014</v>
      </c>
      <c r="AA36" t="s">
        <v>1015</v>
      </c>
      <c r="AB36" t="s">
        <v>1003</v>
      </c>
      <c r="AC36" t="s">
        <v>1016</v>
      </c>
      <c r="AD36" t="s">
        <v>1017</v>
      </c>
      <c r="AE36" t="s">
        <v>1008</v>
      </c>
      <c r="AF36" t="s">
        <v>997</v>
      </c>
      <c r="AG36" t="s">
        <v>997</v>
      </c>
      <c r="AH36" t="s">
        <v>997</v>
      </c>
      <c r="AI36" t="s">
        <v>997</v>
      </c>
      <c r="AJ36" t="s">
        <v>1011</v>
      </c>
      <c r="AK36" t="s">
        <v>1018</v>
      </c>
      <c r="AL36" t="s">
        <v>1019</v>
      </c>
      <c r="AM36" t="s">
        <v>1020</v>
      </c>
      <c r="AN36" t="s">
        <v>1021</v>
      </c>
      <c r="AO36" t="s">
        <v>1022</v>
      </c>
      <c r="AP36" t="s">
        <v>1023</v>
      </c>
    </row>
    <row r="37" spans="1:42" x14ac:dyDescent="0.25">
      <c r="A37" t="s">
        <v>1024</v>
      </c>
      <c r="B37" t="s">
        <v>1025</v>
      </c>
      <c r="C37" t="s">
        <v>1026</v>
      </c>
      <c r="D37" t="s">
        <v>1027</v>
      </c>
      <c r="E37" t="s">
        <v>1028</v>
      </c>
      <c r="F37" t="s">
        <v>1029</v>
      </c>
      <c r="G37" t="s">
        <v>1030</v>
      </c>
      <c r="H37" t="s">
        <v>1031</v>
      </c>
      <c r="I37" t="s">
        <v>1032</v>
      </c>
      <c r="J37" t="s">
        <v>1024</v>
      </c>
      <c r="K37" t="s">
        <v>1024</v>
      </c>
      <c r="L37" t="s">
        <v>1033</v>
      </c>
      <c r="M37" t="s">
        <v>1024</v>
      </c>
      <c r="N37" t="s">
        <v>1034</v>
      </c>
      <c r="O37" t="s">
        <v>1035</v>
      </c>
      <c r="P37" t="s">
        <v>1036</v>
      </c>
      <c r="Q37" t="s">
        <v>1024</v>
      </c>
      <c r="R37" t="s">
        <v>1037</v>
      </c>
      <c r="S37" t="s">
        <v>1038</v>
      </c>
      <c r="T37" t="s">
        <v>1039</v>
      </c>
      <c r="U37" t="s">
        <v>1040</v>
      </c>
      <c r="V37" t="s">
        <v>1034</v>
      </c>
      <c r="W37" t="s">
        <v>1041</v>
      </c>
      <c r="X37" t="s">
        <v>1042</v>
      </c>
      <c r="Y37" t="s">
        <v>1028</v>
      </c>
      <c r="Z37" t="s">
        <v>1043</v>
      </c>
      <c r="AA37" t="s">
        <v>1040</v>
      </c>
      <c r="AB37" t="s">
        <v>1044</v>
      </c>
      <c r="AC37" t="s">
        <v>1045</v>
      </c>
      <c r="AD37" t="s">
        <v>1046</v>
      </c>
      <c r="AE37" t="s">
        <v>1047</v>
      </c>
      <c r="AF37" t="s">
        <v>1048</v>
      </c>
      <c r="AG37" t="s">
        <v>1049</v>
      </c>
      <c r="AH37" t="s">
        <v>1050</v>
      </c>
      <c r="AI37" t="s">
        <v>1051</v>
      </c>
      <c r="AJ37" t="s">
        <v>1052</v>
      </c>
      <c r="AK37" t="s">
        <v>1044</v>
      </c>
      <c r="AL37" t="s">
        <v>1053</v>
      </c>
      <c r="AM37" t="s">
        <v>1054</v>
      </c>
      <c r="AN37" t="s">
        <v>1055</v>
      </c>
      <c r="AO37" t="s">
        <v>1056</v>
      </c>
      <c r="AP37" t="s">
        <v>1057</v>
      </c>
    </row>
    <row r="38" spans="1:42" x14ac:dyDescent="0.25">
      <c r="A38" t="s">
        <v>1058</v>
      </c>
      <c r="B38" t="s">
        <v>1058</v>
      </c>
      <c r="C38" t="s">
        <v>1059</v>
      </c>
      <c r="D38" t="s">
        <v>1060</v>
      </c>
      <c r="E38" t="s">
        <v>1061</v>
      </c>
      <c r="F38" t="s">
        <v>1062</v>
      </c>
      <c r="G38" t="s">
        <v>1058</v>
      </c>
      <c r="H38" t="s">
        <v>1063</v>
      </c>
      <c r="I38" t="s">
        <v>1064</v>
      </c>
      <c r="J38" t="s">
        <v>1058</v>
      </c>
      <c r="K38" t="s">
        <v>1058</v>
      </c>
      <c r="L38" t="s">
        <v>1058</v>
      </c>
      <c r="M38" t="s">
        <v>1058</v>
      </c>
      <c r="N38" t="s">
        <v>1058</v>
      </c>
      <c r="O38" t="s">
        <v>1065</v>
      </c>
      <c r="P38" t="s">
        <v>1066</v>
      </c>
      <c r="Q38" t="s">
        <v>1058</v>
      </c>
      <c r="R38" t="s">
        <v>1067</v>
      </c>
      <c r="S38" t="s">
        <v>1068</v>
      </c>
      <c r="T38" t="s">
        <v>1069</v>
      </c>
      <c r="U38" t="s">
        <v>1070</v>
      </c>
      <c r="V38" t="s">
        <v>1058</v>
      </c>
      <c r="W38" t="s">
        <v>1058</v>
      </c>
      <c r="X38" t="s">
        <v>1071</v>
      </c>
      <c r="Y38" t="s">
        <v>1072</v>
      </c>
      <c r="Z38" t="s">
        <v>1062</v>
      </c>
      <c r="AA38" t="s">
        <v>1070</v>
      </c>
      <c r="AB38" t="s">
        <v>1058</v>
      </c>
      <c r="AC38" t="s">
        <v>1073</v>
      </c>
      <c r="AD38" t="s">
        <v>1058</v>
      </c>
      <c r="AE38" t="s">
        <v>1058</v>
      </c>
      <c r="AF38" t="s">
        <v>1058</v>
      </c>
      <c r="AG38" t="s">
        <v>1074</v>
      </c>
      <c r="AH38" t="s">
        <v>1058</v>
      </c>
      <c r="AI38" t="s">
        <v>1058</v>
      </c>
      <c r="AJ38" t="s">
        <v>1058</v>
      </c>
      <c r="AK38" t="s">
        <v>1058</v>
      </c>
      <c r="AL38" t="s">
        <v>1075</v>
      </c>
      <c r="AM38" t="s">
        <v>1058</v>
      </c>
      <c r="AN38" t="s">
        <v>1058</v>
      </c>
      <c r="AO38" t="s">
        <v>1062</v>
      </c>
      <c r="AP38" t="s">
        <v>1076</v>
      </c>
    </row>
    <row r="39" spans="1:42" x14ac:dyDescent="0.25">
      <c r="A39" t="s">
        <v>1077</v>
      </c>
      <c r="B39" t="s">
        <v>1078</v>
      </c>
      <c r="C39" t="s">
        <v>1079</v>
      </c>
      <c r="D39" t="s">
        <v>1080</v>
      </c>
      <c r="E39" t="s">
        <v>1077</v>
      </c>
      <c r="F39" t="s">
        <v>1081</v>
      </c>
      <c r="G39" t="s">
        <v>1077</v>
      </c>
      <c r="H39" t="s">
        <v>1082</v>
      </c>
      <c r="I39" t="s">
        <v>1083</v>
      </c>
      <c r="J39" t="s">
        <v>1084</v>
      </c>
      <c r="K39" t="s">
        <v>1084</v>
      </c>
      <c r="L39" t="s">
        <v>1077</v>
      </c>
      <c r="M39" t="s">
        <v>1077</v>
      </c>
      <c r="N39" t="s">
        <v>1077</v>
      </c>
      <c r="O39" t="s">
        <v>1077</v>
      </c>
      <c r="P39" t="s">
        <v>1085</v>
      </c>
      <c r="Q39" t="s">
        <v>1084</v>
      </c>
      <c r="R39" t="s">
        <v>1086</v>
      </c>
      <c r="S39" t="s">
        <v>1087</v>
      </c>
      <c r="T39" t="s">
        <v>1084</v>
      </c>
      <c r="U39" t="s">
        <v>1077</v>
      </c>
      <c r="V39" t="s">
        <v>1084</v>
      </c>
      <c r="W39" t="s">
        <v>1077</v>
      </c>
      <c r="X39" t="s">
        <v>1088</v>
      </c>
      <c r="Y39" t="s">
        <v>1089</v>
      </c>
      <c r="Z39" t="s">
        <v>1081</v>
      </c>
      <c r="AA39" t="s">
        <v>1077</v>
      </c>
      <c r="AB39" t="s">
        <v>1077</v>
      </c>
      <c r="AC39" t="s">
        <v>1090</v>
      </c>
      <c r="AD39" t="s">
        <v>1084</v>
      </c>
      <c r="AE39" t="s">
        <v>1091</v>
      </c>
      <c r="AF39" t="s">
        <v>1077</v>
      </c>
      <c r="AG39" t="s">
        <v>1081</v>
      </c>
      <c r="AH39" t="s">
        <v>1084</v>
      </c>
      <c r="AI39" t="s">
        <v>1084</v>
      </c>
      <c r="AJ39" t="s">
        <v>1084</v>
      </c>
      <c r="AK39" t="s">
        <v>1077</v>
      </c>
      <c r="AL39" t="s">
        <v>1092</v>
      </c>
      <c r="AM39" t="s">
        <v>1084</v>
      </c>
      <c r="AN39" t="s">
        <v>1077</v>
      </c>
      <c r="AO39" t="s">
        <v>1081</v>
      </c>
      <c r="AP39" t="s">
        <v>1090</v>
      </c>
    </row>
    <row r="40" spans="1:42" x14ac:dyDescent="0.25">
      <c r="A40" t="s">
        <v>1093</v>
      </c>
      <c r="B40" t="s">
        <v>1094</v>
      </c>
      <c r="C40" t="s">
        <v>1095</v>
      </c>
      <c r="D40" t="s">
        <v>1096</v>
      </c>
      <c r="E40" t="s">
        <v>1097</v>
      </c>
      <c r="F40" t="s">
        <v>1098</v>
      </c>
      <c r="G40" t="s">
        <v>1093</v>
      </c>
      <c r="H40" t="s">
        <v>1099</v>
      </c>
      <c r="I40" t="s">
        <v>1100</v>
      </c>
      <c r="J40" t="s">
        <v>1097</v>
      </c>
      <c r="K40" t="s">
        <v>1101</v>
      </c>
      <c r="L40" t="s">
        <v>1093</v>
      </c>
      <c r="M40" t="s">
        <v>1093</v>
      </c>
      <c r="N40" t="s">
        <v>1102</v>
      </c>
      <c r="O40" t="s">
        <v>1102</v>
      </c>
      <c r="P40" t="s">
        <v>1103</v>
      </c>
      <c r="Q40" t="s">
        <v>1093</v>
      </c>
      <c r="R40" t="s">
        <v>1104</v>
      </c>
      <c r="S40" t="s">
        <v>1105</v>
      </c>
      <c r="T40" t="s">
        <v>1093</v>
      </c>
      <c r="U40" t="s">
        <v>1094</v>
      </c>
      <c r="V40" t="s">
        <v>1097</v>
      </c>
      <c r="W40" t="s">
        <v>1093</v>
      </c>
      <c r="X40" t="s">
        <v>1106</v>
      </c>
      <c r="Y40" t="s">
        <v>1107</v>
      </c>
      <c r="Z40" t="s">
        <v>1098</v>
      </c>
      <c r="AA40" t="s">
        <v>1108</v>
      </c>
      <c r="AB40" t="s">
        <v>1093</v>
      </c>
      <c r="AC40" t="s">
        <v>1109</v>
      </c>
      <c r="AD40" t="s">
        <v>1108</v>
      </c>
      <c r="AE40" t="s">
        <v>1110</v>
      </c>
      <c r="AF40" t="s">
        <v>1093</v>
      </c>
      <c r="AG40" t="s">
        <v>1098</v>
      </c>
      <c r="AH40" t="s">
        <v>1101</v>
      </c>
      <c r="AI40" t="s">
        <v>1097</v>
      </c>
      <c r="AJ40" t="s">
        <v>1093</v>
      </c>
      <c r="AK40" t="s">
        <v>1093</v>
      </c>
      <c r="AL40" t="s">
        <v>1111</v>
      </c>
      <c r="AM40" t="s">
        <v>1097</v>
      </c>
      <c r="AN40" t="s">
        <v>1093</v>
      </c>
      <c r="AO40" t="s">
        <v>1098</v>
      </c>
      <c r="AP40" t="s">
        <v>1112</v>
      </c>
    </row>
    <row r="41" spans="1:42" x14ac:dyDescent="0.25">
      <c r="A41" t="s">
        <v>1113</v>
      </c>
      <c r="B41" t="s">
        <v>1114</v>
      </c>
      <c r="C41" t="s">
        <v>1115</v>
      </c>
      <c r="D41" t="s">
        <v>1116</v>
      </c>
      <c r="E41" t="s">
        <v>1117</v>
      </c>
      <c r="F41" t="s">
        <v>1118</v>
      </c>
      <c r="G41" t="s">
        <v>1119</v>
      </c>
      <c r="H41" t="s">
        <v>1120</v>
      </c>
      <c r="I41" t="s">
        <v>1121</v>
      </c>
      <c r="J41" t="s">
        <v>1122</v>
      </c>
      <c r="K41" t="s">
        <v>1123</v>
      </c>
      <c r="L41" t="s">
        <v>1124</v>
      </c>
      <c r="M41" t="s">
        <v>1125</v>
      </c>
      <c r="N41" t="s">
        <v>1126</v>
      </c>
      <c r="O41" t="s">
        <v>1126</v>
      </c>
      <c r="P41" t="s">
        <v>1127</v>
      </c>
      <c r="Q41" t="s">
        <v>1128</v>
      </c>
      <c r="R41" t="s">
        <v>1129</v>
      </c>
      <c r="S41" t="s">
        <v>1130</v>
      </c>
      <c r="T41" t="s">
        <v>1131</v>
      </c>
      <c r="U41" t="s">
        <v>1132</v>
      </c>
      <c r="V41" t="s">
        <v>1124</v>
      </c>
      <c r="W41" t="s">
        <v>1133</v>
      </c>
      <c r="X41" t="s">
        <v>1134</v>
      </c>
      <c r="Y41" t="s">
        <v>1135</v>
      </c>
      <c r="Z41" t="s">
        <v>1136</v>
      </c>
      <c r="AA41" t="s">
        <v>1133</v>
      </c>
      <c r="AB41" t="s">
        <v>1125</v>
      </c>
      <c r="AC41" t="s">
        <v>1137</v>
      </c>
      <c r="AD41" t="s">
        <v>1138</v>
      </c>
      <c r="AE41" t="s">
        <v>1139</v>
      </c>
      <c r="AF41" t="s">
        <v>1133</v>
      </c>
      <c r="AG41" t="s">
        <v>1140</v>
      </c>
      <c r="AH41" t="s">
        <v>1123</v>
      </c>
      <c r="AI41" t="s">
        <v>1122</v>
      </c>
      <c r="AJ41" t="s">
        <v>1141</v>
      </c>
      <c r="AK41" t="s">
        <v>1142</v>
      </c>
      <c r="AL41" t="s">
        <v>1143</v>
      </c>
      <c r="AM41" t="s">
        <v>1144</v>
      </c>
      <c r="AN41" t="s">
        <v>1145</v>
      </c>
      <c r="AO41" t="s">
        <v>1146</v>
      </c>
      <c r="AP41" t="s">
        <v>1147</v>
      </c>
    </row>
    <row r="42" spans="1:42" x14ac:dyDescent="0.25">
      <c r="A42" t="s">
        <v>1148</v>
      </c>
      <c r="B42" t="s">
        <v>1149</v>
      </c>
      <c r="C42" t="s">
        <v>1150</v>
      </c>
      <c r="D42" t="s">
        <v>1151</v>
      </c>
      <c r="E42" t="s">
        <v>1152</v>
      </c>
      <c r="F42" t="s">
        <v>1153</v>
      </c>
      <c r="G42" t="s">
        <v>1154</v>
      </c>
      <c r="H42" t="s">
        <v>1155</v>
      </c>
      <c r="I42" t="s">
        <v>1156</v>
      </c>
      <c r="J42" t="s">
        <v>1157</v>
      </c>
      <c r="K42" t="s">
        <v>1158</v>
      </c>
      <c r="L42" t="s">
        <v>1148</v>
      </c>
      <c r="M42" t="s">
        <v>1159</v>
      </c>
      <c r="N42" t="s">
        <v>1148</v>
      </c>
      <c r="O42" t="s">
        <v>1160</v>
      </c>
      <c r="P42" t="s">
        <v>1161</v>
      </c>
      <c r="Q42" t="s">
        <v>1148</v>
      </c>
      <c r="R42" t="s">
        <v>1162</v>
      </c>
      <c r="S42" t="s">
        <v>1163</v>
      </c>
      <c r="T42" t="s">
        <v>1164</v>
      </c>
      <c r="U42" t="s">
        <v>1165</v>
      </c>
      <c r="V42" t="s">
        <v>1148</v>
      </c>
      <c r="W42" t="s">
        <v>1166</v>
      </c>
      <c r="X42" t="s">
        <v>1167</v>
      </c>
      <c r="Y42" t="s">
        <v>1168</v>
      </c>
      <c r="Z42" t="s">
        <v>1169</v>
      </c>
      <c r="AA42" t="s">
        <v>1170</v>
      </c>
      <c r="AB42" t="s">
        <v>1148</v>
      </c>
      <c r="AC42" t="s">
        <v>1171</v>
      </c>
      <c r="AD42" t="s">
        <v>1164</v>
      </c>
      <c r="AE42" t="s">
        <v>1172</v>
      </c>
      <c r="AF42" t="s">
        <v>1164</v>
      </c>
      <c r="AG42" t="s">
        <v>1173</v>
      </c>
      <c r="AH42" t="s">
        <v>1174</v>
      </c>
      <c r="AI42" t="s">
        <v>1168</v>
      </c>
      <c r="AJ42" t="s">
        <v>1172</v>
      </c>
      <c r="AK42" t="s">
        <v>1148</v>
      </c>
      <c r="AL42" t="s">
        <v>1175</v>
      </c>
      <c r="AM42" t="s">
        <v>1176</v>
      </c>
      <c r="AN42" t="s">
        <v>1177</v>
      </c>
      <c r="AO42" t="s">
        <v>1178</v>
      </c>
      <c r="AP42" t="s">
        <v>1179</v>
      </c>
    </row>
    <row r="43" spans="1:42" x14ac:dyDescent="0.25">
      <c r="A43" t="s">
        <v>1180</v>
      </c>
      <c r="B43" t="s">
        <v>1180</v>
      </c>
      <c r="C43" t="s">
        <v>1181</v>
      </c>
      <c r="D43" t="s">
        <v>1182</v>
      </c>
      <c r="E43" t="s">
        <v>1183</v>
      </c>
      <c r="F43" t="s">
        <v>1184</v>
      </c>
      <c r="G43" t="s">
        <v>1180</v>
      </c>
      <c r="H43" t="s">
        <v>1185</v>
      </c>
      <c r="I43" t="s">
        <v>1185</v>
      </c>
      <c r="J43" t="s">
        <v>1180</v>
      </c>
      <c r="K43" t="s">
        <v>1186</v>
      </c>
      <c r="L43" t="s">
        <v>1180</v>
      </c>
      <c r="M43" t="s">
        <v>1180</v>
      </c>
      <c r="N43" t="s">
        <v>1180</v>
      </c>
      <c r="O43" t="s">
        <v>1180</v>
      </c>
      <c r="P43" t="s">
        <v>1187</v>
      </c>
      <c r="Q43" t="s">
        <v>1180</v>
      </c>
      <c r="R43" t="s">
        <v>1188</v>
      </c>
      <c r="S43" t="s">
        <v>1189</v>
      </c>
      <c r="T43" t="s">
        <v>1190</v>
      </c>
      <c r="U43" t="s">
        <v>1180</v>
      </c>
      <c r="V43" t="s">
        <v>1191</v>
      </c>
      <c r="W43" t="s">
        <v>1180</v>
      </c>
      <c r="X43" t="s">
        <v>1192</v>
      </c>
      <c r="Y43" t="s">
        <v>1193</v>
      </c>
      <c r="Z43" t="s">
        <v>1184</v>
      </c>
      <c r="AA43" t="s">
        <v>1180</v>
      </c>
      <c r="AB43" t="s">
        <v>1180</v>
      </c>
      <c r="AC43" t="s">
        <v>1194</v>
      </c>
      <c r="AD43" t="s">
        <v>1180</v>
      </c>
      <c r="AE43" t="s">
        <v>1195</v>
      </c>
      <c r="AF43" t="s">
        <v>1180</v>
      </c>
      <c r="AG43" t="s">
        <v>1184</v>
      </c>
      <c r="AH43" t="s">
        <v>1190</v>
      </c>
      <c r="AI43" t="s">
        <v>1180</v>
      </c>
      <c r="AJ43" t="s">
        <v>1190</v>
      </c>
      <c r="AK43" t="s">
        <v>1180</v>
      </c>
      <c r="AL43" t="s">
        <v>1196</v>
      </c>
      <c r="AM43" t="s">
        <v>1183</v>
      </c>
      <c r="AN43" t="s">
        <v>1180</v>
      </c>
      <c r="AO43" t="s">
        <v>1197</v>
      </c>
      <c r="AP43" t="s">
        <v>1194</v>
      </c>
    </row>
    <row r="44" spans="1:42" x14ac:dyDescent="0.25">
      <c r="A44" t="s">
        <v>1198</v>
      </c>
      <c r="B44" t="s">
        <v>1199</v>
      </c>
      <c r="C44" t="s">
        <v>1200</v>
      </c>
      <c r="D44" t="s">
        <v>1201</v>
      </c>
      <c r="E44" t="s">
        <v>1202</v>
      </c>
      <c r="F44" t="s">
        <v>1203</v>
      </c>
      <c r="G44" t="s">
        <v>1204</v>
      </c>
      <c r="H44" t="s">
        <v>1205</v>
      </c>
      <c r="I44" t="s">
        <v>1206</v>
      </c>
      <c r="J44" t="s">
        <v>1207</v>
      </c>
      <c r="K44" t="s">
        <v>1208</v>
      </c>
      <c r="L44" t="s">
        <v>1209</v>
      </c>
      <c r="M44" t="s">
        <v>1210</v>
      </c>
      <c r="N44" t="s">
        <v>1211</v>
      </c>
      <c r="O44" t="s">
        <v>1211</v>
      </c>
      <c r="P44" t="s">
        <v>1212</v>
      </c>
      <c r="Q44" t="s">
        <v>1213</v>
      </c>
      <c r="R44" t="s">
        <v>1214</v>
      </c>
      <c r="S44" t="s">
        <v>1215</v>
      </c>
      <c r="T44" t="s">
        <v>1216</v>
      </c>
      <c r="U44" t="s">
        <v>1217</v>
      </c>
      <c r="V44" t="s">
        <v>1218</v>
      </c>
      <c r="W44" t="s">
        <v>1219</v>
      </c>
      <c r="X44" t="s">
        <v>1220</v>
      </c>
      <c r="Y44" t="s">
        <v>1221</v>
      </c>
      <c r="Z44" t="s">
        <v>1222</v>
      </c>
      <c r="AA44" t="s">
        <v>1219</v>
      </c>
      <c r="AB44" t="s">
        <v>1223</v>
      </c>
      <c r="AC44" t="s">
        <v>1224</v>
      </c>
      <c r="AD44" t="s">
        <v>1225</v>
      </c>
      <c r="AE44" t="s">
        <v>1226</v>
      </c>
      <c r="AF44" t="s">
        <v>1227</v>
      </c>
      <c r="AG44" t="s">
        <v>1228</v>
      </c>
      <c r="AH44" t="s">
        <v>1229</v>
      </c>
      <c r="AI44" t="s">
        <v>1230</v>
      </c>
      <c r="AJ44" t="s">
        <v>1226</v>
      </c>
      <c r="AK44" t="s">
        <v>1231</v>
      </c>
      <c r="AL44" t="s">
        <v>1232</v>
      </c>
      <c r="AM44" t="s">
        <v>1233</v>
      </c>
      <c r="AN44" t="s">
        <v>1234</v>
      </c>
      <c r="AO44" t="s">
        <v>1235</v>
      </c>
      <c r="AP44" t="s">
        <v>1236</v>
      </c>
    </row>
    <row r="45" spans="1:42" x14ac:dyDescent="0.25">
      <c r="A45" t="s">
        <v>1237</v>
      </c>
      <c r="B45" t="s">
        <v>1238</v>
      </c>
      <c r="C45" t="s">
        <v>1239</v>
      </c>
      <c r="D45" t="s">
        <v>1240</v>
      </c>
      <c r="E45" t="s">
        <v>1241</v>
      </c>
      <c r="F45" t="s">
        <v>1242</v>
      </c>
      <c r="G45" t="s">
        <v>1243</v>
      </c>
      <c r="H45" t="s">
        <v>1244</v>
      </c>
      <c r="I45" t="s">
        <v>1245</v>
      </c>
      <c r="J45" t="s">
        <v>1237</v>
      </c>
      <c r="K45" t="s">
        <v>1237</v>
      </c>
      <c r="L45" t="s">
        <v>1237</v>
      </c>
      <c r="M45" t="s">
        <v>1237</v>
      </c>
      <c r="N45" t="s">
        <v>1246</v>
      </c>
      <c r="O45" t="s">
        <v>1246</v>
      </c>
      <c r="P45" t="s">
        <v>1247</v>
      </c>
      <c r="Q45" t="s">
        <v>1237</v>
      </c>
      <c r="R45" t="s">
        <v>1248</v>
      </c>
      <c r="S45" t="s">
        <v>1249</v>
      </c>
      <c r="T45" t="s">
        <v>1237</v>
      </c>
      <c r="U45" t="s">
        <v>1237</v>
      </c>
      <c r="V45" t="s">
        <v>1237</v>
      </c>
      <c r="W45" t="s">
        <v>1250</v>
      </c>
      <c r="X45" t="s">
        <v>1251</v>
      </c>
      <c r="Y45" t="s">
        <v>1252</v>
      </c>
      <c r="Z45" t="s">
        <v>1253</v>
      </c>
      <c r="AA45" t="s">
        <v>1237</v>
      </c>
      <c r="AB45" t="s">
        <v>1237</v>
      </c>
      <c r="AC45" t="s">
        <v>1254</v>
      </c>
      <c r="AD45" t="s">
        <v>1255</v>
      </c>
      <c r="AE45" t="s">
        <v>1256</v>
      </c>
      <c r="AF45" t="s">
        <v>1257</v>
      </c>
      <c r="AG45" t="s">
        <v>1258</v>
      </c>
      <c r="AH45" t="s">
        <v>1237</v>
      </c>
      <c r="AI45" t="s">
        <v>1237</v>
      </c>
      <c r="AJ45" t="s">
        <v>1256</v>
      </c>
      <c r="AK45" t="s">
        <v>1237</v>
      </c>
      <c r="AL45" t="s">
        <v>1259</v>
      </c>
      <c r="AM45" t="s">
        <v>1260</v>
      </c>
      <c r="AN45" t="s">
        <v>1261</v>
      </c>
      <c r="AO45" t="s">
        <v>1262</v>
      </c>
      <c r="AP45" t="s">
        <v>1263</v>
      </c>
    </row>
    <row r="46" spans="1:42" x14ac:dyDescent="0.25">
      <c r="A46" t="s">
        <v>1264</v>
      </c>
      <c r="B46" t="s">
        <v>1265</v>
      </c>
      <c r="C46" t="s">
        <v>1266</v>
      </c>
      <c r="D46" t="s">
        <v>1267</v>
      </c>
      <c r="E46" t="s">
        <v>1264</v>
      </c>
      <c r="F46" t="s">
        <v>1268</v>
      </c>
      <c r="G46" t="s">
        <v>1264</v>
      </c>
      <c r="H46" t="s">
        <v>1269</v>
      </c>
      <c r="I46" t="s">
        <v>1269</v>
      </c>
      <c r="J46" t="s">
        <v>1264</v>
      </c>
      <c r="K46" t="s">
        <v>1264</v>
      </c>
      <c r="L46" t="s">
        <v>1264</v>
      </c>
      <c r="M46" t="s">
        <v>1270</v>
      </c>
      <c r="N46" t="s">
        <v>1264</v>
      </c>
      <c r="O46" t="s">
        <v>1271</v>
      </c>
      <c r="P46" t="s">
        <v>1272</v>
      </c>
      <c r="Q46" t="s">
        <v>1273</v>
      </c>
      <c r="R46" t="s">
        <v>1274</v>
      </c>
      <c r="S46" t="s">
        <v>1275</v>
      </c>
      <c r="T46" t="s">
        <v>1276</v>
      </c>
      <c r="U46" t="s">
        <v>1264</v>
      </c>
      <c r="V46" t="s">
        <v>1264</v>
      </c>
      <c r="W46" t="s">
        <v>1264</v>
      </c>
      <c r="X46" t="s">
        <v>1277</v>
      </c>
      <c r="Y46" t="s">
        <v>1264</v>
      </c>
      <c r="Z46" t="s">
        <v>1278</v>
      </c>
      <c r="AA46" t="s">
        <v>1279</v>
      </c>
      <c r="AB46" t="s">
        <v>1264</v>
      </c>
      <c r="AC46" t="s">
        <v>1280</v>
      </c>
      <c r="AD46" t="s">
        <v>1281</v>
      </c>
      <c r="AE46" t="s">
        <v>1264</v>
      </c>
      <c r="AF46" t="s">
        <v>1264</v>
      </c>
      <c r="AG46" t="s">
        <v>1278</v>
      </c>
      <c r="AH46" t="s">
        <v>1276</v>
      </c>
      <c r="AI46" t="s">
        <v>1264</v>
      </c>
      <c r="AJ46" t="s">
        <v>1264</v>
      </c>
      <c r="AK46" t="s">
        <v>1264</v>
      </c>
      <c r="AL46" t="s">
        <v>1282</v>
      </c>
      <c r="AM46" t="s">
        <v>1283</v>
      </c>
      <c r="AN46" t="s">
        <v>1264</v>
      </c>
      <c r="AO46" t="s">
        <v>1278</v>
      </c>
      <c r="AP46" t="s">
        <v>1284</v>
      </c>
    </row>
    <row r="47" spans="1:42" x14ac:dyDescent="0.25">
      <c r="A47" t="s">
        <v>1285</v>
      </c>
      <c r="B47" t="s">
        <v>1286</v>
      </c>
      <c r="C47" t="s">
        <v>1287</v>
      </c>
      <c r="D47" t="s">
        <v>1288</v>
      </c>
      <c r="E47" t="s">
        <v>1289</v>
      </c>
      <c r="F47" t="s">
        <v>1290</v>
      </c>
      <c r="G47" t="s">
        <v>1291</v>
      </c>
      <c r="H47" t="s">
        <v>1292</v>
      </c>
      <c r="I47" t="s">
        <v>1292</v>
      </c>
      <c r="J47" t="s">
        <v>1293</v>
      </c>
      <c r="K47" t="s">
        <v>1294</v>
      </c>
      <c r="L47" t="s">
        <v>1295</v>
      </c>
      <c r="M47" t="s">
        <v>1296</v>
      </c>
      <c r="N47" t="s">
        <v>1285</v>
      </c>
      <c r="O47" t="s">
        <v>1297</v>
      </c>
      <c r="P47" t="s">
        <v>1298</v>
      </c>
      <c r="Q47" t="s">
        <v>1295</v>
      </c>
      <c r="R47" t="s">
        <v>1299</v>
      </c>
      <c r="S47" t="s">
        <v>1300</v>
      </c>
      <c r="T47" t="s">
        <v>1301</v>
      </c>
      <c r="U47" t="s">
        <v>1302</v>
      </c>
      <c r="V47" t="s">
        <v>1303</v>
      </c>
      <c r="W47" t="s">
        <v>1304</v>
      </c>
      <c r="X47" t="s">
        <v>1305</v>
      </c>
      <c r="Y47" t="s">
        <v>1306</v>
      </c>
      <c r="Z47" t="s">
        <v>1307</v>
      </c>
      <c r="AA47" t="s">
        <v>1308</v>
      </c>
      <c r="AB47" t="s">
        <v>1309</v>
      </c>
      <c r="AC47" t="s">
        <v>1310</v>
      </c>
      <c r="AD47" t="s">
        <v>1311</v>
      </c>
      <c r="AE47" t="s">
        <v>1312</v>
      </c>
      <c r="AF47" t="s">
        <v>1313</v>
      </c>
      <c r="AG47" t="s">
        <v>1314</v>
      </c>
      <c r="AH47" t="s">
        <v>1315</v>
      </c>
      <c r="AI47" t="s">
        <v>1316</v>
      </c>
      <c r="AJ47" t="s">
        <v>1304</v>
      </c>
      <c r="AK47" t="s">
        <v>1317</v>
      </c>
      <c r="AL47" t="s">
        <v>1318</v>
      </c>
      <c r="AM47" t="s">
        <v>1319</v>
      </c>
      <c r="AN47" t="s">
        <v>1320</v>
      </c>
      <c r="AO47" t="s">
        <v>1321</v>
      </c>
      <c r="AP47" t="s">
        <v>1322</v>
      </c>
    </row>
    <row r="48" spans="1:42" x14ac:dyDescent="0.25">
      <c r="A48" t="s">
        <v>1323</v>
      </c>
      <c r="B48" t="s">
        <v>1324</v>
      </c>
      <c r="C48" t="s">
        <v>1325</v>
      </c>
      <c r="D48" t="s">
        <v>1326</v>
      </c>
      <c r="E48" t="s">
        <v>1327</v>
      </c>
      <c r="F48" t="s">
        <v>1328</v>
      </c>
      <c r="G48" t="s">
        <v>1329</v>
      </c>
      <c r="H48" t="s">
        <v>1330</v>
      </c>
      <c r="I48" t="s">
        <v>1330</v>
      </c>
      <c r="J48" t="s">
        <v>1331</v>
      </c>
      <c r="K48" t="s">
        <v>1332</v>
      </c>
      <c r="L48" t="s">
        <v>1323</v>
      </c>
      <c r="M48" t="s">
        <v>1323</v>
      </c>
      <c r="N48" t="s">
        <v>1331</v>
      </c>
      <c r="O48" t="s">
        <v>1333</v>
      </c>
      <c r="P48" t="s">
        <v>1334</v>
      </c>
      <c r="Q48" t="s">
        <v>1332</v>
      </c>
      <c r="R48" t="s">
        <v>1335</v>
      </c>
      <c r="S48" t="s">
        <v>1336</v>
      </c>
      <c r="T48" t="s">
        <v>1337</v>
      </c>
      <c r="U48" t="s">
        <v>1331</v>
      </c>
      <c r="V48" t="s">
        <v>1323</v>
      </c>
      <c r="W48" t="s">
        <v>1338</v>
      </c>
      <c r="X48" t="s">
        <v>1339</v>
      </c>
      <c r="Y48" t="s">
        <v>1327</v>
      </c>
      <c r="Z48" t="s">
        <v>1328</v>
      </c>
      <c r="AA48" t="s">
        <v>1340</v>
      </c>
      <c r="AB48" t="s">
        <v>1323</v>
      </c>
      <c r="AC48" t="s">
        <v>1341</v>
      </c>
      <c r="AD48" t="s">
        <v>1342</v>
      </c>
      <c r="AE48" t="s">
        <v>1343</v>
      </c>
      <c r="AF48" t="s">
        <v>1344</v>
      </c>
      <c r="AG48" t="s">
        <v>1328</v>
      </c>
      <c r="AH48" t="s">
        <v>1332</v>
      </c>
      <c r="AI48" t="s">
        <v>1345</v>
      </c>
      <c r="AJ48" t="s">
        <v>1343</v>
      </c>
      <c r="AK48" t="s">
        <v>1332</v>
      </c>
      <c r="AL48" t="s">
        <v>1346</v>
      </c>
      <c r="AM48" t="s">
        <v>1327</v>
      </c>
      <c r="AN48" t="s">
        <v>1323</v>
      </c>
      <c r="AO48" t="s">
        <v>1347</v>
      </c>
      <c r="AP48" t="s">
        <v>1348</v>
      </c>
    </row>
    <row r="49" spans="1:42" x14ac:dyDescent="0.25">
      <c r="A49" t="s">
        <v>1349</v>
      </c>
      <c r="B49" t="s">
        <v>1350</v>
      </c>
      <c r="C49" t="s">
        <v>1351</v>
      </c>
      <c r="D49" t="s">
        <v>1352</v>
      </c>
      <c r="E49" t="s">
        <v>1353</v>
      </c>
      <c r="F49" t="s">
        <v>1354</v>
      </c>
      <c r="G49" t="s">
        <v>1355</v>
      </c>
      <c r="H49" t="s">
        <v>1356</v>
      </c>
      <c r="I49" t="s">
        <v>1357</v>
      </c>
      <c r="J49" t="s">
        <v>1358</v>
      </c>
      <c r="K49" t="s">
        <v>1359</v>
      </c>
      <c r="L49" t="s">
        <v>1360</v>
      </c>
      <c r="M49" t="s">
        <v>1360</v>
      </c>
      <c r="N49" t="s">
        <v>1361</v>
      </c>
      <c r="O49" t="s">
        <v>1362</v>
      </c>
      <c r="P49" t="s">
        <v>1363</v>
      </c>
      <c r="Q49" t="s">
        <v>1360</v>
      </c>
      <c r="R49" t="s">
        <v>1364</v>
      </c>
      <c r="S49" t="s">
        <v>1365</v>
      </c>
      <c r="T49" t="s">
        <v>1366</v>
      </c>
      <c r="U49" t="s">
        <v>1367</v>
      </c>
      <c r="V49" t="s">
        <v>1349</v>
      </c>
      <c r="W49" t="s">
        <v>1368</v>
      </c>
      <c r="X49" t="s">
        <v>1369</v>
      </c>
      <c r="Y49" t="s">
        <v>1370</v>
      </c>
      <c r="Z49" t="s">
        <v>1371</v>
      </c>
      <c r="AA49" t="s">
        <v>1372</v>
      </c>
      <c r="AB49" t="s">
        <v>1360</v>
      </c>
      <c r="AC49" t="s">
        <v>1373</v>
      </c>
      <c r="AD49" t="s">
        <v>1374</v>
      </c>
      <c r="AE49" t="s">
        <v>1375</v>
      </c>
      <c r="AF49" t="s">
        <v>1368</v>
      </c>
      <c r="AG49" t="s">
        <v>1376</v>
      </c>
      <c r="AH49" t="s">
        <v>1377</v>
      </c>
      <c r="AI49" t="s">
        <v>1358</v>
      </c>
      <c r="AJ49" t="s">
        <v>1368</v>
      </c>
      <c r="AK49" t="s">
        <v>1378</v>
      </c>
      <c r="AL49" t="s">
        <v>1379</v>
      </c>
      <c r="AM49" t="s">
        <v>1380</v>
      </c>
      <c r="AN49" t="s">
        <v>1381</v>
      </c>
      <c r="AO49" t="s">
        <v>1382</v>
      </c>
      <c r="AP49" t="s">
        <v>1383</v>
      </c>
    </row>
    <row r="50" spans="1:42" x14ac:dyDescent="0.25">
      <c r="A50" t="s">
        <v>1384</v>
      </c>
      <c r="B50" t="s">
        <v>1385</v>
      </c>
      <c r="C50" t="s">
        <v>1386</v>
      </c>
      <c r="D50" t="s">
        <v>1387</v>
      </c>
      <c r="E50" t="s">
        <v>1388</v>
      </c>
      <c r="F50" t="s">
        <v>1389</v>
      </c>
      <c r="G50" t="s">
        <v>1390</v>
      </c>
      <c r="H50" t="s">
        <v>1391</v>
      </c>
      <c r="I50" t="s">
        <v>1392</v>
      </c>
      <c r="J50" t="s">
        <v>1393</v>
      </c>
      <c r="K50" t="s">
        <v>1394</v>
      </c>
      <c r="L50" t="s">
        <v>1395</v>
      </c>
      <c r="M50" t="s">
        <v>1396</v>
      </c>
      <c r="N50" t="s">
        <v>1397</v>
      </c>
      <c r="O50" t="s">
        <v>1384</v>
      </c>
      <c r="P50" t="s">
        <v>1398</v>
      </c>
      <c r="Q50" t="s">
        <v>1399</v>
      </c>
      <c r="R50" t="s">
        <v>1400</v>
      </c>
      <c r="S50" t="s">
        <v>1401</v>
      </c>
      <c r="T50" t="s">
        <v>1402</v>
      </c>
      <c r="U50" t="s">
        <v>1403</v>
      </c>
      <c r="V50" t="s">
        <v>1384</v>
      </c>
      <c r="W50" t="s">
        <v>1404</v>
      </c>
      <c r="X50" t="s">
        <v>1405</v>
      </c>
      <c r="Y50" t="s">
        <v>1406</v>
      </c>
      <c r="Z50" t="s">
        <v>1407</v>
      </c>
      <c r="AA50" t="s">
        <v>1408</v>
      </c>
      <c r="AB50" t="s">
        <v>1409</v>
      </c>
      <c r="AC50" t="s">
        <v>1410</v>
      </c>
      <c r="AD50" t="s">
        <v>1411</v>
      </c>
      <c r="AE50" t="s">
        <v>1390</v>
      </c>
      <c r="AF50" t="s">
        <v>1412</v>
      </c>
      <c r="AG50" t="s">
        <v>1413</v>
      </c>
      <c r="AH50" t="s">
        <v>1414</v>
      </c>
      <c r="AI50" t="s">
        <v>1384</v>
      </c>
      <c r="AJ50" t="s">
        <v>1404</v>
      </c>
      <c r="AK50" t="s">
        <v>1409</v>
      </c>
      <c r="AL50" t="s">
        <v>1415</v>
      </c>
      <c r="AM50" t="s">
        <v>1388</v>
      </c>
      <c r="AN50" t="s">
        <v>1416</v>
      </c>
      <c r="AO50" t="s">
        <v>1417</v>
      </c>
      <c r="AP50" t="s">
        <v>1418</v>
      </c>
    </row>
    <row r="51" spans="1:42" x14ac:dyDescent="0.25">
      <c r="A51" t="s">
        <v>1419</v>
      </c>
      <c r="B51" t="s">
        <v>1420</v>
      </c>
      <c r="C51" t="s">
        <v>1421</v>
      </c>
      <c r="D51" t="s">
        <v>1422</v>
      </c>
      <c r="E51" t="s">
        <v>1423</v>
      </c>
      <c r="F51" t="s">
        <v>1424</v>
      </c>
      <c r="G51" t="s">
        <v>1425</v>
      </c>
      <c r="H51" t="s">
        <v>1426</v>
      </c>
      <c r="I51" t="s">
        <v>1427</v>
      </c>
      <c r="J51" t="s">
        <v>1428</v>
      </c>
      <c r="K51" t="s">
        <v>1429</v>
      </c>
      <c r="L51" t="s">
        <v>1430</v>
      </c>
      <c r="M51" t="s">
        <v>1431</v>
      </c>
      <c r="N51" t="s">
        <v>1419</v>
      </c>
      <c r="O51" t="s">
        <v>1432</v>
      </c>
      <c r="P51" t="s">
        <v>1433</v>
      </c>
      <c r="Q51" t="s">
        <v>1430</v>
      </c>
      <c r="R51" t="s">
        <v>1434</v>
      </c>
      <c r="S51" t="s">
        <v>1435</v>
      </c>
      <c r="T51" t="s">
        <v>1436</v>
      </c>
      <c r="U51" t="s">
        <v>1419</v>
      </c>
      <c r="V51" t="s">
        <v>1419</v>
      </c>
      <c r="W51" t="s">
        <v>1419</v>
      </c>
      <c r="X51" t="s">
        <v>1437</v>
      </c>
      <c r="Y51" t="s">
        <v>1428</v>
      </c>
      <c r="Z51" t="s">
        <v>1438</v>
      </c>
      <c r="AA51" t="s">
        <v>1439</v>
      </c>
      <c r="AB51" t="s">
        <v>1419</v>
      </c>
      <c r="AC51" t="s">
        <v>1440</v>
      </c>
      <c r="AD51" t="s">
        <v>1419</v>
      </c>
      <c r="AE51" t="s">
        <v>1441</v>
      </c>
      <c r="AF51" t="s">
        <v>1419</v>
      </c>
      <c r="AG51" t="s">
        <v>1442</v>
      </c>
      <c r="AH51" t="s">
        <v>1441</v>
      </c>
      <c r="AI51" t="s">
        <v>1443</v>
      </c>
      <c r="AJ51" t="s">
        <v>1419</v>
      </c>
      <c r="AK51" t="s">
        <v>1430</v>
      </c>
      <c r="AL51" t="s">
        <v>1444</v>
      </c>
      <c r="AM51" t="s">
        <v>1445</v>
      </c>
      <c r="AN51" t="s">
        <v>1446</v>
      </c>
      <c r="AO51" t="s">
        <v>1447</v>
      </c>
      <c r="AP51" t="s">
        <v>1448</v>
      </c>
    </row>
    <row r="52" spans="1:42" x14ac:dyDescent="0.25">
      <c r="A52" t="s">
        <v>1449</v>
      </c>
      <c r="B52" t="s">
        <v>1450</v>
      </c>
      <c r="C52" t="s">
        <v>1451</v>
      </c>
      <c r="D52" t="s">
        <v>1452</v>
      </c>
      <c r="E52" t="s">
        <v>1453</v>
      </c>
      <c r="F52" t="s">
        <v>1454</v>
      </c>
      <c r="G52" t="s">
        <v>1455</v>
      </c>
      <c r="H52" t="s">
        <v>1456</v>
      </c>
      <c r="I52" t="s">
        <v>1457</v>
      </c>
      <c r="J52" t="s">
        <v>1458</v>
      </c>
      <c r="K52" t="s">
        <v>1459</v>
      </c>
      <c r="L52" t="s">
        <v>1460</v>
      </c>
      <c r="M52" t="s">
        <v>1461</v>
      </c>
      <c r="N52" t="s">
        <v>1460</v>
      </c>
      <c r="O52" t="s">
        <v>1462</v>
      </c>
      <c r="P52" t="s">
        <v>1463</v>
      </c>
      <c r="Q52" t="s">
        <v>1464</v>
      </c>
      <c r="R52" t="s">
        <v>1465</v>
      </c>
      <c r="S52" t="s">
        <v>1466</v>
      </c>
      <c r="T52" t="s">
        <v>1467</v>
      </c>
      <c r="U52" t="s">
        <v>1449</v>
      </c>
      <c r="V52" t="s">
        <v>1449</v>
      </c>
      <c r="W52" t="s">
        <v>1468</v>
      </c>
      <c r="X52" t="s">
        <v>1469</v>
      </c>
      <c r="Y52" t="s">
        <v>1470</v>
      </c>
      <c r="Z52" t="s">
        <v>1471</v>
      </c>
      <c r="AA52" t="s">
        <v>1453</v>
      </c>
      <c r="AB52" t="s">
        <v>1460</v>
      </c>
      <c r="AC52" t="s">
        <v>1472</v>
      </c>
      <c r="AD52" t="s">
        <v>1473</v>
      </c>
      <c r="AE52" t="s">
        <v>1455</v>
      </c>
      <c r="AF52" t="s">
        <v>1474</v>
      </c>
      <c r="AG52" t="s">
        <v>1471</v>
      </c>
      <c r="AH52" t="s">
        <v>1459</v>
      </c>
      <c r="AI52" t="s">
        <v>1458</v>
      </c>
      <c r="AJ52" t="s">
        <v>1455</v>
      </c>
      <c r="AK52" t="s">
        <v>1460</v>
      </c>
      <c r="AL52" t="s">
        <v>1475</v>
      </c>
      <c r="AM52" t="s">
        <v>1453</v>
      </c>
      <c r="AN52" t="s">
        <v>1476</v>
      </c>
      <c r="AO52" t="s">
        <v>1477</v>
      </c>
      <c r="AP52" t="s">
        <v>1478</v>
      </c>
    </row>
    <row r="53" spans="1:42" x14ac:dyDescent="0.25">
      <c r="A53" t="s">
        <v>1479</v>
      </c>
      <c r="B53" t="s">
        <v>1480</v>
      </c>
      <c r="C53" t="s">
        <v>1481</v>
      </c>
      <c r="D53" t="s">
        <v>1482</v>
      </c>
      <c r="E53" t="s">
        <v>1483</v>
      </c>
      <c r="F53" t="s">
        <v>1484</v>
      </c>
      <c r="G53" t="s">
        <v>1485</v>
      </c>
      <c r="H53" t="s">
        <v>1486</v>
      </c>
      <c r="I53" t="s">
        <v>1486</v>
      </c>
      <c r="J53" t="s">
        <v>1483</v>
      </c>
      <c r="K53" t="s">
        <v>1487</v>
      </c>
      <c r="L53" t="s">
        <v>1488</v>
      </c>
      <c r="M53" t="s">
        <v>1489</v>
      </c>
      <c r="N53" t="s">
        <v>1490</v>
      </c>
      <c r="O53" t="s">
        <v>1491</v>
      </c>
      <c r="P53" t="s">
        <v>1492</v>
      </c>
      <c r="Q53" t="s">
        <v>1488</v>
      </c>
      <c r="R53" t="s">
        <v>1493</v>
      </c>
      <c r="S53" t="s">
        <v>1494</v>
      </c>
      <c r="T53" t="s">
        <v>1495</v>
      </c>
      <c r="U53" t="s">
        <v>1479</v>
      </c>
      <c r="V53" t="s">
        <v>1496</v>
      </c>
      <c r="W53" t="s">
        <v>1479</v>
      </c>
      <c r="X53" t="s">
        <v>1497</v>
      </c>
      <c r="Y53" t="s">
        <v>1498</v>
      </c>
      <c r="Z53" t="s">
        <v>1484</v>
      </c>
      <c r="AA53" t="s">
        <v>1499</v>
      </c>
      <c r="AB53" t="s">
        <v>1479</v>
      </c>
      <c r="AC53" t="s">
        <v>1481</v>
      </c>
      <c r="AD53" t="s">
        <v>1500</v>
      </c>
      <c r="AE53" t="s">
        <v>1485</v>
      </c>
      <c r="AF53" t="s">
        <v>1479</v>
      </c>
      <c r="AG53" t="s">
        <v>1484</v>
      </c>
      <c r="AH53" t="s">
        <v>1487</v>
      </c>
      <c r="AI53" t="s">
        <v>1501</v>
      </c>
      <c r="AJ53" t="s">
        <v>1502</v>
      </c>
      <c r="AK53" t="s">
        <v>1503</v>
      </c>
      <c r="AL53" t="s">
        <v>1504</v>
      </c>
      <c r="AM53" t="s">
        <v>1505</v>
      </c>
      <c r="AN53" t="s">
        <v>1479</v>
      </c>
      <c r="AO53" t="s">
        <v>1506</v>
      </c>
      <c r="AP53" t="s">
        <v>1507</v>
      </c>
    </row>
    <row r="54" spans="1:42" x14ac:dyDescent="0.25">
      <c r="A54" t="s">
        <v>1508</v>
      </c>
      <c r="B54" t="s">
        <v>1509</v>
      </c>
      <c r="C54" t="s">
        <v>1510</v>
      </c>
      <c r="D54" t="s">
        <v>1511</v>
      </c>
      <c r="E54" t="s">
        <v>1512</v>
      </c>
      <c r="F54" t="s">
        <v>1513</v>
      </c>
      <c r="G54" t="s">
        <v>1514</v>
      </c>
      <c r="H54" t="s">
        <v>1515</v>
      </c>
      <c r="I54" t="s">
        <v>1515</v>
      </c>
      <c r="J54" t="s">
        <v>1516</v>
      </c>
      <c r="K54" t="s">
        <v>1517</v>
      </c>
      <c r="L54" t="s">
        <v>1518</v>
      </c>
      <c r="M54" t="s">
        <v>1519</v>
      </c>
      <c r="N54" t="s">
        <v>1518</v>
      </c>
      <c r="O54" t="s">
        <v>1520</v>
      </c>
      <c r="P54" t="s">
        <v>1521</v>
      </c>
      <c r="Q54" t="s">
        <v>1518</v>
      </c>
      <c r="R54" t="s">
        <v>1522</v>
      </c>
      <c r="S54" t="s">
        <v>1523</v>
      </c>
      <c r="T54" t="s">
        <v>1524</v>
      </c>
      <c r="U54" t="s">
        <v>1525</v>
      </c>
      <c r="V54" t="s">
        <v>1526</v>
      </c>
      <c r="W54" t="s">
        <v>1527</v>
      </c>
      <c r="X54" t="s">
        <v>1528</v>
      </c>
      <c r="Y54" t="s">
        <v>1529</v>
      </c>
      <c r="Z54" t="s">
        <v>1530</v>
      </c>
      <c r="AA54" t="s">
        <v>1531</v>
      </c>
      <c r="AB54" t="s">
        <v>1532</v>
      </c>
      <c r="AC54" t="s">
        <v>1533</v>
      </c>
      <c r="AD54" t="s">
        <v>1534</v>
      </c>
      <c r="AE54" t="s">
        <v>1535</v>
      </c>
      <c r="AF54" t="s">
        <v>1532</v>
      </c>
      <c r="AG54" t="s">
        <v>1530</v>
      </c>
      <c r="AH54" t="s">
        <v>1536</v>
      </c>
      <c r="AI54" t="s">
        <v>1537</v>
      </c>
      <c r="AJ54" t="s">
        <v>1538</v>
      </c>
      <c r="AK54" t="s">
        <v>1518</v>
      </c>
      <c r="AL54" t="s">
        <v>1539</v>
      </c>
      <c r="AM54" t="s">
        <v>1540</v>
      </c>
      <c r="AN54" t="s">
        <v>1541</v>
      </c>
      <c r="AO54" t="s">
        <v>1542</v>
      </c>
      <c r="AP54" t="s">
        <v>1543</v>
      </c>
    </row>
    <row r="55" spans="1:42" x14ac:dyDescent="0.25">
      <c r="A55" t="s">
        <v>1544</v>
      </c>
      <c r="B55" t="s">
        <v>1545</v>
      </c>
      <c r="C55" t="s">
        <v>1546</v>
      </c>
      <c r="D55" t="s">
        <v>1547</v>
      </c>
      <c r="E55" t="s">
        <v>1544</v>
      </c>
      <c r="F55" t="s">
        <v>1544</v>
      </c>
      <c r="G55" t="s">
        <v>1544</v>
      </c>
      <c r="H55" t="s">
        <v>1548</v>
      </c>
      <c r="I55" t="s">
        <v>1549</v>
      </c>
      <c r="J55" t="s">
        <v>1550</v>
      </c>
      <c r="K55" t="s">
        <v>1550</v>
      </c>
      <c r="L55" t="s">
        <v>1544</v>
      </c>
      <c r="M55" t="s">
        <v>1544</v>
      </c>
      <c r="N55" t="s">
        <v>1551</v>
      </c>
      <c r="O55" t="s">
        <v>1544</v>
      </c>
      <c r="P55" t="s">
        <v>1552</v>
      </c>
      <c r="Q55" t="s">
        <v>1544</v>
      </c>
      <c r="R55" t="s">
        <v>1553</v>
      </c>
      <c r="S55" t="s">
        <v>1554</v>
      </c>
      <c r="T55" t="s">
        <v>1544</v>
      </c>
      <c r="U55" t="s">
        <v>1551</v>
      </c>
      <c r="V55" t="s">
        <v>1544</v>
      </c>
      <c r="W55" t="s">
        <v>1555</v>
      </c>
      <c r="X55" t="s">
        <v>1556</v>
      </c>
      <c r="Y55" t="s">
        <v>1551</v>
      </c>
      <c r="Z55" t="s">
        <v>1557</v>
      </c>
      <c r="AA55" t="s">
        <v>1544</v>
      </c>
      <c r="AB55" t="s">
        <v>1544</v>
      </c>
      <c r="AC55" t="s">
        <v>1558</v>
      </c>
      <c r="AD55" t="s">
        <v>1559</v>
      </c>
      <c r="AE55" t="s">
        <v>1544</v>
      </c>
      <c r="AF55" t="s">
        <v>1544</v>
      </c>
      <c r="AG55" t="s">
        <v>1560</v>
      </c>
      <c r="AH55" t="s">
        <v>1550</v>
      </c>
      <c r="AI55" t="s">
        <v>1544</v>
      </c>
      <c r="AJ55" t="s">
        <v>1544</v>
      </c>
      <c r="AK55" t="s">
        <v>1561</v>
      </c>
      <c r="AL55" t="s">
        <v>1562</v>
      </c>
      <c r="AM55" t="s">
        <v>1550</v>
      </c>
      <c r="AN55" t="s">
        <v>1544</v>
      </c>
      <c r="AO55" t="s">
        <v>1563</v>
      </c>
      <c r="AP55" t="s">
        <v>1564</v>
      </c>
    </row>
    <row r="56" spans="1:42" x14ac:dyDescent="0.25">
      <c r="A56" t="s">
        <v>1565</v>
      </c>
      <c r="B56" t="s">
        <v>1566</v>
      </c>
      <c r="C56" t="s">
        <v>1567</v>
      </c>
      <c r="D56" t="s">
        <v>1568</v>
      </c>
      <c r="E56" t="s">
        <v>1569</v>
      </c>
      <c r="F56" t="s">
        <v>1570</v>
      </c>
      <c r="G56" t="s">
        <v>1571</v>
      </c>
      <c r="H56" t="s">
        <v>1572</v>
      </c>
      <c r="I56" t="s">
        <v>1573</v>
      </c>
      <c r="J56" t="s">
        <v>1574</v>
      </c>
      <c r="K56" t="s">
        <v>1575</v>
      </c>
      <c r="L56" t="s">
        <v>1576</v>
      </c>
      <c r="M56" t="s">
        <v>1577</v>
      </c>
      <c r="N56" t="s">
        <v>1578</v>
      </c>
      <c r="O56" t="s">
        <v>1579</v>
      </c>
      <c r="P56" t="s">
        <v>1580</v>
      </c>
      <c r="Q56" t="s">
        <v>1581</v>
      </c>
      <c r="R56" t="s">
        <v>1582</v>
      </c>
      <c r="S56" t="s">
        <v>1583</v>
      </c>
      <c r="T56" t="s">
        <v>1584</v>
      </c>
      <c r="U56" t="s">
        <v>1585</v>
      </c>
      <c r="V56" t="s">
        <v>1586</v>
      </c>
      <c r="W56" t="s">
        <v>1587</v>
      </c>
      <c r="X56" t="s">
        <v>1588</v>
      </c>
      <c r="Y56" t="s">
        <v>1589</v>
      </c>
      <c r="Z56" t="s">
        <v>1590</v>
      </c>
      <c r="AA56" t="s">
        <v>1591</v>
      </c>
      <c r="AB56" t="s">
        <v>1576</v>
      </c>
      <c r="AC56" t="s">
        <v>1592</v>
      </c>
      <c r="AD56" t="s">
        <v>1593</v>
      </c>
      <c r="AE56" t="s">
        <v>1594</v>
      </c>
      <c r="AF56" t="s">
        <v>1587</v>
      </c>
      <c r="AG56" t="s">
        <v>1595</v>
      </c>
      <c r="AH56" t="s">
        <v>1596</v>
      </c>
      <c r="AI56" t="s">
        <v>1597</v>
      </c>
      <c r="AJ56" t="s">
        <v>1598</v>
      </c>
      <c r="AK56" t="s">
        <v>1576</v>
      </c>
      <c r="AL56" t="s">
        <v>1599</v>
      </c>
      <c r="AM56" t="s">
        <v>1600</v>
      </c>
      <c r="AN56" t="s">
        <v>1601</v>
      </c>
      <c r="AO56" t="s">
        <v>1602</v>
      </c>
      <c r="AP56" t="s">
        <v>1603</v>
      </c>
    </row>
    <row r="57" spans="1:42" x14ac:dyDescent="0.25">
      <c r="A57" t="s">
        <v>1604</v>
      </c>
      <c r="B57" t="s">
        <v>1605</v>
      </c>
      <c r="C57" t="s">
        <v>1606</v>
      </c>
      <c r="D57" t="s">
        <v>1607</v>
      </c>
      <c r="E57" t="s">
        <v>1608</v>
      </c>
      <c r="F57" t="s">
        <v>1609</v>
      </c>
      <c r="G57" t="s">
        <v>1610</v>
      </c>
      <c r="H57" t="s">
        <v>1611</v>
      </c>
      <c r="I57" t="s">
        <v>1611</v>
      </c>
      <c r="J57" t="s">
        <v>1604</v>
      </c>
      <c r="K57" t="s">
        <v>1612</v>
      </c>
      <c r="L57" t="s">
        <v>1604</v>
      </c>
      <c r="M57" t="s">
        <v>1604</v>
      </c>
      <c r="N57" t="s">
        <v>1604</v>
      </c>
      <c r="O57" t="s">
        <v>1613</v>
      </c>
      <c r="P57" t="s">
        <v>1614</v>
      </c>
      <c r="Q57" t="s">
        <v>1604</v>
      </c>
      <c r="R57" t="s">
        <v>1615</v>
      </c>
      <c r="S57" t="s">
        <v>1616</v>
      </c>
      <c r="T57" t="s">
        <v>1617</v>
      </c>
      <c r="U57" t="s">
        <v>1618</v>
      </c>
      <c r="V57" t="s">
        <v>1604</v>
      </c>
      <c r="W57" t="s">
        <v>1619</v>
      </c>
      <c r="X57" t="s">
        <v>1620</v>
      </c>
      <c r="Y57" t="s">
        <v>1621</v>
      </c>
      <c r="Z57" t="s">
        <v>1622</v>
      </c>
      <c r="AA57" t="s">
        <v>1623</v>
      </c>
      <c r="AB57" t="s">
        <v>1604</v>
      </c>
      <c r="AC57" t="s">
        <v>1624</v>
      </c>
      <c r="AD57" t="s">
        <v>1605</v>
      </c>
      <c r="AE57" t="s">
        <v>1625</v>
      </c>
      <c r="AF57" t="s">
        <v>1605</v>
      </c>
      <c r="AG57" t="s">
        <v>1604</v>
      </c>
      <c r="AH57" t="s">
        <v>1612</v>
      </c>
      <c r="AI57" t="s">
        <v>1626</v>
      </c>
      <c r="AJ57" t="s">
        <v>1627</v>
      </c>
      <c r="AK57" t="s">
        <v>1604</v>
      </c>
      <c r="AL57" t="s">
        <v>1628</v>
      </c>
      <c r="AM57" t="s">
        <v>1629</v>
      </c>
      <c r="AN57" t="s">
        <v>1630</v>
      </c>
      <c r="AO57" t="s">
        <v>1631</v>
      </c>
      <c r="AP57" t="s">
        <v>1632</v>
      </c>
    </row>
    <row r="58" spans="1:42" x14ac:dyDescent="0.25">
      <c r="A58" t="s">
        <v>1633</v>
      </c>
      <c r="B58" t="s">
        <v>1634</v>
      </c>
      <c r="C58" t="s">
        <v>1635</v>
      </c>
      <c r="D58" t="s">
        <v>1636</v>
      </c>
      <c r="E58" t="s">
        <v>1637</v>
      </c>
      <c r="F58" t="s">
        <v>1638</v>
      </c>
      <c r="G58" t="s">
        <v>1639</v>
      </c>
      <c r="H58" t="s">
        <v>1640</v>
      </c>
      <c r="I58" t="s">
        <v>1641</v>
      </c>
      <c r="J58" t="s">
        <v>1642</v>
      </c>
      <c r="K58" t="s">
        <v>1643</v>
      </c>
      <c r="L58" t="s">
        <v>1644</v>
      </c>
      <c r="M58" t="s">
        <v>1645</v>
      </c>
      <c r="N58" t="s">
        <v>1646</v>
      </c>
      <c r="O58" t="s">
        <v>1647</v>
      </c>
      <c r="P58" t="s">
        <v>1648</v>
      </c>
      <c r="Q58" t="s">
        <v>1644</v>
      </c>
      <c r="R58" t="s">
        <v>1649</v>
      </c>
      <c r="S58" t="s">
        <v>1650</v>
      </c>
      <c r="T58" t="s">
        <v>1633</v>
      </c>
      <c r="U58" t="s">
        <v>1646</v>
      </c>
      <c r="V58" t="s">
        <v>1633</v>
      </c>
      <c r="W58" t="s">
        <v>1651</v>
      </c>
      <c r="X58" t="s">
        <v>1652</v>
      </c>
      <c r="Y58" t="s">
        <v>1642</v>
      </c>
      <c r="Z58" t="s">
        <v>1653</v>
      </c>
      <c r="AA58" t="s">
        <v>1654</v>
      </c>
      <c r="AB58" t="s">
        <v>1646</v>
      </c>
      <c r="AC58" t="s">
        <v>1655</v>
      </c>
      <c r="AD58" t="s">
        <v>1646</v>
      </c>
      <c r="AE58" t="s">
        <v>1656</v>
      </c>
      <c r="AF58" t="s">
        <v>1646</v>
      </c>
      <c r="AG58" t="s">
        <v>1653</v>
      </c>
      <c r="AH58" t="s">
        <v>1657</v>
      </c>
      <c r="AI58" t="s">
        <v>1642</v>
      </c>
      <c r="AJ58" t="s">
        <v>1656</v>
      </c>
      <c r="AK58" t="s">
        <v>1644</v>
      </c>
      <c r="AL58" t="s">
        <v>1658</v>
      </c>
      <c r="AM58" t="s">
        <v>1637</v>
      </c>
      <c r="AN58" t="s">
        <v>1659</v>
      </c>
      <c r="AO58" t="s">
        <v>1660</v>
      </c>
      <c r="AP58" t="s">
        <v>1661</v>
      </c>
    </row>
    <row r="59" spans="1:42" x14ac:dyDescent="0.25">
      <c r="A59" t="s">
        <v>1662</v>
      </c>
      <c r="B59" t="s">
        <v>1663</v>
      </c>
      <c r="C59" t="s">
        <v>1664</v>
      </c>
      <c r="D59" t="s">
        <v>1665</v>
      </c>
      <c r="E59" t="s">
        <v>1663</v>
      </c>
      <c r="F59" t="s">
        <v>1666</v>
      </c>
      <c r="G59" t="s">
        <v>1667</v>
      </c>
      <c r="H59" t="s">
        <v>1668</v>
      </c>
      <c r="I59" t="s">
        <v>1668</v>
      </c>
      <c r="J59" t="s">
        <v>1663</v>
      </c>
      <c r="K59" t="s">
        <v>1663</v>
      </c>
      <c r="L59" t="s">
        <v>1662</v>
      </c>
      <c r="M59" t="s">
        <v>1662</v>
      </c>
      <c r="N59" t="s">
        <v>1662</v>
      </c>
      <c r="O59" t="s">
        <v>1662</v>
      </c>
      <c r="P59" t="s">
        <v>1669</v>
      </c>
      <c r="Q59" t="s">
        <v>1663</v>
      </c>
      <c r="R59" t="s">
        <v>1670</v>
      </c>
      <c r="S59" t="s">
        <v>1671</v>
      </c>
      <c r="T59" t="s">
        <v>1663</v>
      </c>
      <c r="U59" t="s">
        <v>1663</v>
      </c>
      <c r="V59" t="s">
        <v>1663</v>
      </c>
      <c r="W59" t="s">
        <v>1662</v>
      </c>
      <c r="X59" t="s">
        <v>1672</v>
      </c>
      <c r="Y59" t="s">
        <v>1663</v>
      </c>
      <c r="Z59" t="s">
        <v>1666</v>
      </c>
      <c r="AA59" t="s">
        <v>1663</v>
      </c>
      <c r="AB59" t="s">
        <v>1662</v>
      </c>
      <c r="AC59" t="s">
        <v>1673</v>
      </c>
      <c r="AD59" t="s">
        <v>1663</v>
      </c>
      <c r="AE59" t="s">
        <v>1674</v>
      </c>
      <c r="AF59" t="s">
        <v>1662</v>
      </c>
      <c r="AG59" t="s">
        <v>1666</v>
      </c>
      <c r="AH59" t="s">
        <v>1663</v>
      </c>
      <c r="AI59" t="s">
        <v>1663</v>
      </c>
      <c r="AJ59" t="s">
        <v>1674</v>
      </c>
      <c r="AK59" t="s">
        <v>1662</v>
      </c>
      <c r="AL59" t="s">
        <v>1675</v>
      </c>
      <c r="AM59" t="s">
        <v>1663</v>
      </c>
      <c r="AN59" t="s">
        <v>1662</v>
      </c>
      <c r="AO59" t="s">
        <v>1666</v>
      </c>
      <c r="AP59" t="s">
        <v>1676</v>
      </c>
    </row>
    <row r="60" spans="1:42" x14ac:dyDescent="0.25">
      <c r="A60" t="s">
        <v>1677</v>
      </c>
      <c r="B60" t="s">
        <v>1678</v>
      </c>
      <c r="C60" t="s">
        <v>1679</v>
      </c>
      <c r="D60" t="s">
        <v>1680</v>
      </c>
      <c r="E60" t="s">
        <v>1681</v>
      </c>
      <c r="F60" t="s">
        <v>1682</v>
      </c>
      <c r="G60" t="s">
        <v>1683</v>
      </c>
      <c r="H60" t="s">
        <v>1684</v>
      </c>
      <c r="I60" t="s">
        <v>1684</v>
      </c>
      <c r="J60" t="s">
        <v>1685</v>
      </c>
      <c r="K60" t="s">
        <v>1685</v>
      </c>
      <c r="L60" t="s">
        <v>1686</v>
      </c>
      <c r="M60" t="s">
        <v>1686</v>
      </c>
      <c r="N60" t="s">
        <v>1686</v>
      </c>
      <c r="O60" t="s">
        <v>1687</v>
      </c>
      <c r="P60" t="s">
        <v>1688</v>
      </c>
      <c r="Q60" t="s">
        <v>1686</v>
      </c>
      <c r="R60" t="s">
        <v>1689</v>
      </c>
      <c r="S60" t="s">
        <v>1690</v>
      </c>
      <c r="T60" t="s">
        <v>1691</v>
      </c>
      <c r="U60" t="s">
        <v>1685</v>
      </c>
      <c r="V60" t="s">
        <v>1691</v>
      </c>
      <c r="W60" t="s">
        <v>1692</v>
      </c>
      <c r="X60" t="s">
        <v>1693</v>
      </c>
      <c r="Y60" t="s">
        <v>1694</v>
      </c>
      <c r="Z60" t="s">
        <v>1682</v>
      </c>
      <c r="AA60" t="s">
        <v>1695</v>
      </c>
      <c r="AB60" t="s">
        <v>1686</v>
      </c>
      <c r="AC60" t="s">
        <v>1696</v>
      </c>
      <c r="AD60" t="s">
        <v>1685</v>
      </c>
      <c r="AE60" t="s">
        <v>1697</v>
      </c>
      <c r="AF60" t="s">
        <v>1687</v>
      </c>
      <c r="AG60" t="s">
        <v>1682</v>
      </c>
      <c r="AH60" t="s">
        <v>1685</v>
      </c>
      <c r="AI60" t="s">
        <v>1685</v>
      </c>
      <c r="AJ60" t="s">
        <v>1698</v>
      </c>
      <c r="AK60" t="s">
        <v>1699</v>
      </c>
      <c r="AL60" t="s">
        <v>1700</v>
      </c>
      <c r="AM60" t="s">
        <v>1701</v>
      </c>
      <c r="AN60" t="s">
        <v>1677</v>
      </c>
      <c r="AO60" t="s">
        <v>1702</v>
      </c>
      <c r="AP60" t="s">
        <v>1696</v>
      </c>
    </row>
    <row r="61" spans="1:42" x14ac:dyDescent="0.25">
      <c r="A61" t="s">
        <v>1703</v>
      </c>
      <c r="B61" t="s">
        <v>1704</v>
      </c>
      <c r="C61" t="s">
        <v>1705</v>
      </c>
      <c r="D61" t="s">
        <v>1706</v>
      </c>
      <c r="E61" t="s">
        <v>1707</v>
      </c>
      <c r="F61" t="s">
        <v>1708</v>
      </c>
      <c r="G61" t="s">
        <v>1709</v>
      </c>
      <c r="H61" t="s">
        <v>1710</v>
      </c>
      <c r="I61" t="s">
        <v>1711</v>
      </c>
      <c r="J61" t="s">
        <v>1712</v>
      </c>
      <c r="K61" t="s">
        <v>1713</v>
      </c>
      <c r="L61" t="s">
        <v>1714</v>
      </c>
      <c r="M61" t="s">
        <v>1715</v>
      </c>
      <c r="N61" t="s">
        <v>1716</v>
      </c>
      <c r="O61" t="s">
        <v>1717</v>
      </c>
      <c r="P61" t="s">
        <v>1718</v>
      </c>
      <c r="Q61" t="s">
        <v>1714</v>
      </c>
      <c r="R61" t="s">
        <v>1719</v>
      </c>
      <c r="S61" t="s">
        <v>1720</v>
      </c>
      <c r="T61" t="s">
        <v>1721</v>
      </c>
      <c r="U61" t="s">
        <v>1722</v>
      </c>
      <c r="V61" t="s">
        <v>1703</v>
      </c>
      <c r="W61" t="s">
        <v>1723</v>
      </c>
      <c r="X61" t="s">
        <v>1724</v>
      </c>
      <c r="Y61" t="s">
        <v>1725</v>
      </c>
      <c r="Z61" t="s">
        <v>1726</v>
      </c>
      <c r="AA61" t="s">
        <v>1727</v>
      </c>
      <c r="AB61" t="s">
        <v>1716</v>
      </c>
      <c r="AC61" t="s">
        <v>1728</v>
      </c>
      <c r="AD61" t="s">
        <v>1729</v>
      </c>
      <c r="AE61" t="s">
        <v>1730</v>
      </c>
      <c r="AF61" t="s">
        <v>1731</v>
      </c>
      <c r="AG61" t="s">
        <v>1726</v>
      </c>
      <c r="AH61" t="s">
        <v>1732</v>
      </c>
      <c r="AI61" t="s">
        <v>1733</v>
      </c>
      <c r="AJ61" t="s">
        <v>1734</v>
      </c>
      <c r="AK61" t="s">
        <v>1714</v>
      </c>
      <c r="AL61" t="s">
        <v>1735</v>
      </c>
      <c r="AM61" t="s">
        <v>1736</v>
      </c>
      <c r="AN61" t="s">
        <v>1703</v>
      </c>
      <c r="AO61" t="s">
        <v>1737</v>
      </c>
      <c r="AP61" t="s">
        <v>1738</v>
      </c>
    </row>
    <row r="62" spans="1:42" x14ac:dyDescent="0.25">
      <c r="A62" t="s">
        <v>1739</v>
      </c>
      <c r="B62" t="s">
        <v>1740</v>
      </c>
      <c r="C62" t="s">
        <v>1741</v>
      </c>
      <c r="D62" t="s">
        <v>1742</v>
      </c>
      <c r="E62" t="s">
        <v>1743</v>
      </c>
      <c r="F62" t="s">
        <v>1744</v>
      </c>
      <c r="G62" t="s">
        <v>1745</v>
      </c>
      <c r="H62" t="s">
        <v>1746</v>
      </c>
      <c r="I62" t="s">
        <v>1746</v>
      </c>
      <c r="J62" t="s">
        <v>1739</v>
      </c>
      <c r="K62" t="s">
        <v>1747</v>
      </c>
      <c r="L62" t="s">
        <v>1748</v>
      </c>
      <c r="M62" t="s">
        <v>1749</v>
      </c>
      <c r="N62" t="s">
        <v>1750</v>
      </c>
      <c r="O62" t="s">
        <v>1751</v>
      </c>
      <c r="P62" t="s">
        <v>1752</v>
      </c>
      <c r="Q62" t="s">
        <v>1748</v>
      </c>
      <c r="R62" t="s">
        <v>1753</v>
      </c>
      <c r="S62" t="s">
        <v>1754</v>
      </c>
      <c r="T62" t="s">
        <v>1755</v>
      </c>
      <c r="U62" t="s">
        <v>1739</v>
      </c>
      <c r="V62" t="s">
        <v>1756</v>
      </c>
      <c r="W62" t="s">
        <v>1757</v>
      </c>
      <c r="X62" t="s">
        <v>1758</v>
      </c>
      <c r="Y62" t="s">
        <v>1759</v>
      </c>
      <c r="Z62" t="s">
        <v>1760</v>
      </c>
      <c r="AA62" t="s">
        <v>1761</v>
      </c>
      <c r="AB62" t="s">
        <v>1745</v>
      </c>
      <c r="AC62" t="s">
        <v>1762</v>
      </c>
      <c r="AD62" t="s">
        <v>1763</v>
      </c>
      <c r="AE62" t="s">
        <v>1745</v>
      </c>
      <c r="AF62" t="s">
        <v>1764</v>
      </c>
      <c r="AG62" t="s">
        <v>1739</v>
      </c>
      <c r="AH62" t="s">
        <v>1755</v>
      </c>
      <c r="AI62" t="s">
        <v>1759</v>
      </c>
      <c r="AJ62" t="s">
        <v>1745</v>
      </c>
      <c r="AK62" t="s">
        <v>1748</v>
      </c>
      <c r="AL62" t="s">
        <v>1765</v>
      </c>
      <c r="AM62" t="s">
        <v>1766</v>
      </c>
      <c r="AN62" t="s">
        <v>1767</v>
      </c>
      <c r="AO62" t="s">
        <v>1768</v>
      </c>
      <c r="AP62" t="s">
        <v>1769</v>
      </c>
    </row>
    <row r="63" spans="1:42" x14ac:dyDescent="0.25">
      <c r="A63" t="s">
        <v>1770</v>
      </c>
      <c r="B63" t="s">
        <v>1770</v>
      </c>
      <c r="C63" t="s">
        <v>1771</v>
      </c>
      <c r="D63" t="s">
        <v>1772</v>
      </c>
      <c r="E63" t="s">
        <v>1773</v>
      </c>
      <c r="F63" t="s">
        <v>1774</v>
      </c>
      <c r="G63" t="s">
        <v>1775</v>
      </c>
      <c r="H63" t="s">
        <v>1776</v>
      </c>
      <c r="I63" t="s">
        <v>1777</v>
      </c>
      <c r="J63" t="s">
        <v>1778</v>
      </c>
      <c r="K63" t="s">
        <v>1779</v>
      </c>
      <c r="L63" t="s">
        <v>1780</v>
      </c>
      <c r="M63" t="s">
        <v>1781</v>
      </c>
      <c r="N63" t="s">
        <v>1770</v>
      </c>
      <c r="O63" t="s">
        <v>1782</v>
      </c>
      <c r="P63" t="s">
        <v>1783</v>
      </c>
      <c r="Q63" t="s">
        <v>1780</v>
      </c>
      <c r="R63" t="s">
        <v>1784</v>
      </c>
      <c r="S63" t="s">
        <v>1785</v>
      </c>
      <c r="T63" t="s">
        <v>1786</v>
      </c>
      <c r="U63" t="s">
        <v>1770</v>
      </c>
      <c r="V63" t="s">
        <v>1787</v>
      </c>
      <c r="W63" t="s">
        <v>1770</v>
      </c>
      <c r="X63" t="s">
        <v>1788</v>
      </c>
      <c r="Y63" t="s">
        <v>1789</v>
      </c>
      <c r="Z63" t="s">
        <v>1790</v>
      </c>
      <c r="AA63" t="s">
        <v>1791</v>
      </c>
      <c r="AB63" t="s">
        <v>1770</v>
      </c>
      <c r="AC63" t="s">
        <v>1792</v>
      </c>
      <c r="AD63" t="s">
        <v>1770</v>
      </c>
      <c r="AE63" t="s">
        <v>1793</v>
      </c>
      <c r="AF63" t="s">
        <v>1770</v>
      </c>
      <c r="AG63" t="s">
        <v>1790</v>
      </c>
      <c r="AH63" t="s">
        <v>1779</v>
      </c>
      <c r="AI63" t="s">
        <v>1778</v>
      </c>
      <c r="AJ63" t="s">
        <v>1770</v>
      </c>
      <c r="AK63" t="s">
        <v>1780</v>
      </c>
      <c r="AL63" t="s">
        <v>1794</v>
      </c>
      <c r="AM63" t="s">
        <v>1795</v>
      </c>
      <c r="AN63" t="s">
        <v>1770</v>
      </c>
      <c r="AO63" t="s">
        <v>1796</v>
      </c>
      <c r="AP63" t="s">
        <v>1797</v>
      </c>
    </row>
    <row r="64" spans="1:42" x14ac:dyDescent="0.25">
      <c r="A64" t="s">
        <v>1798</v>
      </c>
      <c r="B64" t="s">
        <v>1799</v>
      </c>
      <c r="C64" t="s">
        <v>1800</v>
      </c>
      <c r="D64" t="s">
        <v>1801</v>
      </c>
      <c r="E64" t="s">
        <v>1802</v>
      </c>
      <c r="F64" t="s">
        <v>1803</v>
      </c>
      <c r="G64" t="s">
        <v>1804</v>
      </c>
      <c r="H64" t="s">
        <v>1805</v>
      </c>
      <c r="I64" t="s">
        <v>1805</v>
      </c>
      <c r="J64" t="s">
        <v>1806</v>
      </c>
      <c r="K64" t="s">
        <v>1807</v>
      </c>
      <c r="L64" t="s">
        <v>1808</v>
      </c>
      <c r="M64" t="s">
        <v>1809</v>
      </c>
      <c r="N64" t="s">
        <v>1810</v>
      </c>
      <c r="O64" t="s">
        <v>1811</v>
      </c>
      <c r="P64" t="s">
        <v>1798</v>
      </c>
      <c r="Q64" t="s">
        <v>1808</v>
      </c>
      <c r="R64" t="s">
        <v>1812</v>
      </c>
      <c r="S64" t="s">
        <v>1813</v>
      </c>
      <c r="T64" t="s">
        <v>1814</v>
      </c>
      <c r="U64" t="s">
        <v>1815</v>
      </c>
      <c r="V64" t="s">
        <v>1816</v>
      </c>
      <c r="W64" t="s">
        <v>1817</v>
      </c>
      <c r="X64" t="s">
        <v>1818</v>
      </c>
      <c r="Y64" t="s">
        <v>1819</v>
      </c>
      <c r="Z64" t="s">
        <v>1820</v>
      </c>
      <c r="AA64" t="s">
        <v>1821</v>
      </c>
      <c r="AB64" t="s">
        <v>1822</v>
      </c>
      <c r="AC64" t="s">
        <v>1823</v>
      </c>
      <c r="AD64" t="s">
        <v>1824</v>
      </c>
      <c r="AE64" t="s">
        <v>1825</v>
      </c>
      <c r="AF64" t="s">
        <v>1826</v>
      </c>
      <c r="AG64" t="s">
        <v>1827</v>
      </c>
      <c r="AH64" t="s">
        <v>1828</v>
      </c>
      <c r="AI64" t="s">
        <v>1829</v>
      </c>
      <c r="AJ64" t="s">
        <v>1830</v>
      </c>
      <c r="AK64" t="s">
        <v>1808</v>
      </c>
      <c r="AL64" t="s">
        <v>1831</v>
      </c>
      <c r="AM64" t="s">
        <v>1832</v>
      </c>
      <c r="AN64" t="s">
        <v>1833</v>
      </c>
      <c r="AO64" t="s">
        <v>1834</v>
      </c>
      <c r="AP64" t="s">
        <v>1835</v>
      </c>
    </row>
    <row r="65" spans="1:42" x14ac:dyDescent="0.25">
      <c r="A65" t="s">
        <v>1836</v>
      </c>
      <c r="B65" t="s">
        <v>1837</v>
      </c>
      <c r="C65" t="s">
        <v>1838</v>
      </c>
      <c r="D65" t="s">
        <v>1839</v>
      </c>
      <c r="E65" t="s">
        <v>1840</v>
      </c>
      <c r="F65" t="s">
        <v>1841</v>
      </c>
      <c r="G65" t="s">
        <v>1842</v>
      </c>
      <c r="H65" t="s">
        <v>1843</v>
      </c>
      <c r="I65" t="s">
        <v>1844</v>
      </c>
      <c r="J65" t="s">
        <v>1837</v>
      </c>
      <c r="K65" t="s">
        <v>1837</v>
      </c>
      <c r="L65" t="s">
        <v>1837</v>
      </c>
      <c r="M65" t="s">
        <v>1845</v>
      </c>
      <c r="N65" t="s">
        <v>1846</v>
      </c>
      <c r="O65" t="s">
        <v>1846</v>
      </c>
      <c r="P65" t="s">
        <v>1847</v>
      </c>
      <c r="Q65" t="s">
        <v>1837</v>
      </c>
      <c r="R65" t="s">
        <v>1848</v>
      </c>
      <c r="S65" t="s">
        <v>1849</v>
      </c>
      <c r="T65" t="s">
        <v>1837</v>
      </c>
      <c r="U65" t="s">
        <v>1837</v>
      </c>
      <c r="V65" t="s">
        <v>1850</v>
      </c>
      <c r="W65" t="s">
        <v>1842</v>
      </c>
      <c r="X65" t="s">
        <v>1851</v>
      </c>
      <c r="Y65" t="s">
        <v>1852</v>
      </c>
      <c r="Z65" t="s">
        <v>1841</v>
      </c>
      <c r="AA65" t="s">
        <v>1837</v>
      </c>
      <c r="AB65" t="s">
        <v>1837</v>
      </c>
      <c r="AC65" t="s">
        <v>1853</v>
      </c>
      <c r="AD65" t="s">
        <v>1837</v>
      </c>
      <c r="AE65" t="s">
        <v>1854</v>
      </c>
      <c r="AF65" t="s">
        <v>1842</v>
      </c>
      <c r="AG65" t="s">
        <v>1841</v>
      </c>
      <c r="AH65" t="s">
        <v>1837</v>
      </c>
      <c r="AI65" t="s">
        <v>1837</v>
      </c>
      <c r="AJ65" t="s">
        <v>1855</v>
      </c>
      <c r="AK65" t="s">
        <v>1837</v>
      </c>
      <c r="AL65" t="s">
        <v>1856</v>
      </c>
      <c r="AM65" t="s">
        <v>1837</v>
      </c>
      <c r="AN65" t="s">
        <v>1836</v>
      </c>
      <c r="AO65" t="s">
        <v>1841</v>
      </c>
      <c r="AP65" t="s">
        <v>1857</v>
      </c>
    </row>
    <row r="66" spans="1:42" x14ac:dyDescent="0.25">
      <c r="A66" t="s">
        <v>1858</v>
      </c>
      <c r="B66" t="s">
        <v>1859</v>
      </c>
      <c r="C66" t="s">
        <v>1860</v>
      </c>
      <c r="D66" t="s">
        <v>1861</v>
      </c>
      <c r="E66" t="s">
        <v>1862</v>
      </c>
      <c r="F66" t="s">
        <v>1863</v>
      </c>
      <c r="G66" t="s">
        <v>1858</v>
      </c>
      <c r="H66" t="s">
        <v>1864</v>
      </c>
      <c r="I66" t="s">
        <v>1864</v>
      </c>
      <c r="J66" t="s">
        <v>1865</v>
      </c>
      <c r="K66" t="s">
        <v>1866</v>
      </c>
      <c r="L66" t="s">
        <v>1858</v>
      </c>
      <c r="M66" t="s">
        <v>1858</v>
      </c>
      <c r="N66" t="s">
        <v>1858</v>
      </c>
      <c r="O66" t="s">
        <v>1858</v>
      </c>
      <c r="P66" t="s">
        <v>1867</v>
      </c>
      <c r="Q66" t="s">
        <v>1858</v>
      </c>
      <c r="R66" t="s">
        <v>1868</v>
      </c>
      <c r="S66" t="s">
        <v>1869</v>
      </c>
      <c r="T66" t="s">
        <v>1870</v>
      </c>
      <c r="U66" t="s">
        <v>1858</v>
      </c>
      <c r="V66" t="s">
        <v>1858</v>
      </c>
      <c r="W66" t="s">
        <v>1871</v>
      </c>
      <c r="X66" t="s">
        <v>1872</v>
      </c>
      <c r="Y66" t="s">
        <v>1865</v>
      </c>
      <c r="Z66" t="s">
        <v>1873</v>
      </c>
      <c r="AA66" t="s">
        <v>1874</v>
      </c>
      <c r="AB66" t="s">
        <v>1858</v>
      </c>
      <c r="AC66" t="s">
        <v>1875</v>
      </c>
      <c r="AD66" t="s">
        <v>1876</v>
      </c>
      <c r="AE66" t="s">
        <v>1858</v>
      </c>
      <c r="AF66" t="s">
        <v>1876</v>
      </c>
      <c r="AG66" t="s">
        <v>1873</v>
      </c>
      <c r="AH66" t="s">
        <v>1866</v>
      </c>
      <c r="AI66" t="s">
        <v>1877</v>
      </c>
      <c r="AJ66" t="s">
        <v>1858</v>
      </c>
      <c r="AK66" t="s">
        <v>1858</v>
      </c>
      <c r="AL66" t="s">
        <v>1878</v>
      </c>
      <c r="AM66" t="s">
        <v>1879</v>
      </c>
      <c r="AN66" t="s">
        <v>1880</v>
      </c>
      <c r="AO66" t="s">
        <v>1881</v>
      </c>
      <c r="AP66" t="s">
        <v>1882</v>
      </c>
    </row>
    <row r="67" spans="1:42" x14ac:dyDescent="0.25">
      <c r="A67" t="s">
        <v>1883</v>
      </c>
      <c r="B67" t="s">
        <v>1884</v>
      </c>
      <c r="C67" t="s">
        <v>1885</v>
      </c>
      <c r="D67" t="s">
        <v>1886</v>
      </c>
      <c r="E67" t="s">
        <v>1887</v>
      </c>
      <c r="F67" t="s">
        <v>1888</v>
      </c>
      <c r="G67" t="s">
        <v>1883</v>
      </c>
      <c r="H67" t="s">
        <v>1889</v>
      </c>
      <c r="I67" t="s">
        <v>1890</v>
      </c>
      <c r="J67" t="s">
        <v>1891</v>
      </c>
      <c r="K67" t="s">
        <v>1883</v>
      </c>
      <c r="L67" t="s">
        <v>1883</v>
      </c>
      <c r="M67" t="s">
        <v>1883</v>
      </c>
      <c r="N67" t="s">
        <v>1883</v>
      </c>
      <c r="O67" t="s">
        <v>1883</v>
      </c>
      <c r="P67" t="s">
        <v>1892</v>
      </c>
      <c r="Q67" t="s">
        <v>1883</v>
      </c>
      <c r="R67" t="s">
        <v>1893</v>
      </c>
      <c r="S67" t="s">
        <v>1894</v>
      </c>
      <c r="T67" t="s">
        <v>1895</v>
      </c>
      <c r="U67" t="s">
        <v>1883</v>
      </c>
      <c r="V67" t="s">
        <v>1891</v>
      </c>
      <c r="W67" t="s">
        <v>1883</v>
      </c>
      <c r="X67" t="s">
        <v>1896</v>
      </c>
      <c r="Y67" t="s">
        <v>1891</v>
      </c>
      <c r="Z67" t="s">
        <v>1888</v>
      </c>
      <c r="AA67" t="s">
        <v>1883</v>
      </c>
      <c r="AB67" t="s">
        <v>1883</v>
      </c>
      <c r="AC67" t="s">
        <v>1897</v>
      </c>
      <c r="AD67" t="s">
        <v>1883</v>
      </c>
      <c r="AE67" t="s">
        <v>1891</v>
      </c>
      <c r="AF67" t="s">
        <v>1883</v>
      </c>
      <c r="AG67" t="s">
        <v>1888</v>
      </c>
      <c r="AH67" t="s">
        <v>1883</v>
      </c>
      <c r="AI67" t="s">
        <v>1891</v>
      </c>
      <c r="AJ67" t="s">
        <v>1883</v>
      </c>
      <c r="AK67" t="s">
        <v>1883</v>
      </c>
      <c r="AL67" t="s">
        <v>1898</v>
      </c>
      <c r="AM67" t="s">
        <v>1891</v>
      </c>
      <c r="AN67" t="s">
        <v>1883</v>
      </c>
      <c r="AO67" t="s">
        <v>1888</v>
      </c>
      <c r="AP67" t="s">
        <v>1899</v>
      </c>
    </row>
    <row r="68" spans="1:42" x14ac:dyDescent="0.25">
      <c r="A68" t="s">
        <v>1900</v>
      </c>
      <c r="B68" t="s">
        <v>1900</v>
      </c>
      <c r="C68" t="s">
        <v>1901</v>
      </c>
      <c r="D68" t="s">
        <v>1902</v>
      </c>
      <c r="E68" t="s">
        <v>1903</v>
      </c>
      <c r="F68" t="s">
        <v>1904</v>
      </c>
      <c r="G68" t="s">
        <v>1905</v>
      </c>
      <c r="H68" t="s">
        <v>1906</v>
      </c>
      <c r="I68" t="s">
        <v>1907</v>
      </c>
      <c r="J68" t="s">
        <v>1908</v>
      </c>
      <c r="K68" t="s">
        <v>1900</v>
      </c>
      <c r="L68" t="s">
        <v>1900</v>
      </c>
      <c r="M68" t="s">
        <v>1900</v>
      </c>
      <c r="N68" t="s">
        <v>1900</v>
      </c>
      <c r="O68" t="s">
        <v>1900</v>
      </c>
      <c r="P68" t="s">
        <v>1909</v>
      </c>
      <c r="Q68" t="s">
        <v>1900</v>
      </c>
      <c r="R68" t="s">
        <v>1910</v>
      </c>
      <c r="S68" t="s">
        <v>1911</v>
      </c>
      <c r="T68" t="s">
        <v>1900</v>
      </c>
      <c r="U68" t="s">
        <v>1900</v>
      </c>
      <c r="V68" t="s">
        <v>1900</v>
      </c>
      <c r="W68" t="s">
        <v>1900</v>
      </c>
      <c r="X68" t="s">
        <v>1912</v>
      </c>
      <c r="Y68" t="s">
        <v>1913</v>
      </c>
      <c r="Z68" t="s">
        <v>1914</v>
      </c>
      <c r="AA68" t="s">
        <v>1915</v>
      </c>
      <c r="AB68" t="s">
        <v>1900</v>
      </c>
      <c r="AC68" t="s">
        <v>1916</v>
      </c>
      <c r="AD68" t="s">
        <v>1915</v>
      </c>
      <c r="AE68" t="s">
        <v>1905</v>
      </c>
      <c r="AF68" t="s">
        <v>1900</v>
      </c>
      <c r="AG68" t="s">
        <v>1914</v>
      </c>
      <c r="AH68" t="s">
        <v>1917</v>
      </c>
      <c r="AI68" t="s">
        <v>1908</v>
      </c>
      <c r="AJ68" t="s">
        <v>1900</v>
      </c>
      <c r="AK68" t="s">
        <v>1900</v>
      </c>
      <c r="AL68" t="s">
        <v>1918</v>
      </c>
      <c r="AM68" t="s">
        <v>1900</v>
      </c>
      <c r="AN68" t="s">
        <v>1900</v>
      </c>
      <c r="AO68" t="s">
        <v>1904</v>
      </c>
      <c r="AP68" t="s">
        <v>1919</v>
      </c>
    </row>
    <row r="69" spans="1:42" x14ac:dyDescent="0.25">
      <c r="A69" t="s">
        <v>1920</v>
      </c>
      <c r="B69" t="s">
        <v>1920</v>
      </c>
      <c r="C69" t="s">
        <v>1921</v>
      </c>
      <c r="D69" t="s">
        <v>1922</v>
      </c>
      <c r="E69" t="s">
        <v>1923</v>
      </c>
      <c r="F69" t="s">
        <v>1924</v>
      </c>
      <c r="G69" t="s">
        <v>1925</v>
      </c>
      <c r="H69" t="s">
        <v>1926</v>
      </c>
      <c r="I69" t="s">
        <v>1927</v>
      </c>
      <c r="J69" t="s">
        <v>1928</v>
      </c>
      <c r="K69" t="s">
        <v>1929</v>
      </c>
      <c r="L69" t="s">
        <v>1930</v>
      </c>
      <c r="M69" t="s">
        <v>1931</v>
      </c>
      <c r="N69" t="s">
        <v>1932</v>
      </c>
      <c r="O69" t="s">
        <v>1933</v>
      </c>
      <c r="P69" t="s">
        <v>1934</v>
      </c>
      <c r="Q69" t="s">
        <v>1935</v>
      </c>
      <c r="R69" t="s">
        <v>1936</v>
      </c>
      <c r="S69" t="s">
        <v>1937</v>
      </c>
      <c r="T69" t="s">
        <v>1938</v>
      </c>
      <c r="U69" t="s">
        <v>1939</v>
      </c>
      <c r="V69" t="s">
        <v>1940</v>
      </c>
      <c r="W69" t="s">
        <v>1941</v>
      </c>
      <c r="X69" t="s">
        <v>1942</v>
      </c>
      <c r="Y69" t="s">
        <v>1943</v>
      </c>
      <c r="Z69" t="s">
        <v>1944</v>
      </c>
      <c r="AA69" t="s">
        <v>1945</v>
      </c>
      <c r="AB69" t="s">
        <v>1946</v>
      </c>
      <c r="AC69" t="s">
        <v>1947</v>
      </c>
      <c r="AD69" t="s">
        <v>1948</v>
      </c>
      <c r="AE69" t="s">
        <v>1949</v>
      </c>
      <c r="AF69" t="s">
        <v>1950</v>
      </c>
      <c r="AG69" t="s">
        <v>1951</v>
      </c>
      <c r="AH69" t="s">
        <v>1952</v>
      </c>
      <c r="AI69" t="s">
        <v>1928</v>
      </c>
      <c r="AJ69" t="s">
        <v>1925</v>
      </c>
      <c r="AK69" t="s">
        <v>1930</v>
      </c>
      <c r="AL69" t="s">
        <v>1953</v>
      </c>
      <c r="AM69" t="s">
        <v>1954</v>
      </c>
      <c r="AN69" t="s">
        <v>1955</v>
      </c>
      <c r="AO69" t="s">
        <v>1956</v>
      </c>
      <c r="AP69" t="s">
        <v>1957</v>
      </c>
    </row>
    <row r="70" spans="1:42" x14ac:dyDescent="0.25">
      <c r="A70" t="s">
        <v>1958</v>
      </c>
      <c r="B70" t="s">
        <v>1959</v>
      </c>
      <c r="C70" t="s">
        <v>1960</v>
      </c>
      <c r="D70" t="s">
        <v>1961</v>
      </c>
      <c r="E70" t="s">
        <v>1962</v>
      </c>
      <c r="F70" t="s">
        <v>1963</v>
      </c>
      <c r="G70" t="s">
        <v>1964</v>
      </c>
      <c r="H70" t="s">
        <v>1965</v>
      </c>
      <c r="I70" t="s">
        <v>1965</v>
      </c>
      <c r="J70" t="s">
        <v>1966</v>
      </c>
      <c r="K70" t="s">
        <v>1967</v>
      </c>
      <c r="L70" t="s">
        <v>1968</v>
      </c>
      <c r="M70" t="s">
        <v>1969</v>
      </c>
      <c r="N70" t="s">
        <v>1970</v>
      </c>
      <c r="O70" t="s">
        <v>1970</v>
      </c>
      <c r="P70" t="s">
        <v>1971</v>
      </c>
      <c r="Q70" t="s">
        <v>1972</v>
      </c>
      <c r="R70" t="s">
        <v>1973</v>
      </c>
      <c r="S70" t="s">
        <v>1974</v>
      </c>
      <c r="T70" t="s">
        <v>1975</v>
      </c>
      <c r="U70" t="s">
        <v>1976</v>
      </c>
      <c r="V70" t="s">
        <v>1977</v>
      </c>
      <c r="W70" t="s">
        <v>1978</v>
      </c>
      <c r="X70" t="s">
        <v>1979</v>
      </c>
      <c r="Y70" t="s">
        <v>1980</v>
      </c>
      <c r="Z70" t="s">
        <v>1981</v>
      </c>
      <c r="AA70" t="s">
        <v>1982</v>
      </c>
      <c r="AB70" t="s">
        <v>1983</v>
      </c>
      <c r="AC70" t="s">
        <v>1984</v>
      </c>
      <c r="AD70" t="s">
        <v>1985</v>
      </c>
      <c r="AE70" t="s">
        <v>1986</v>
      </c>
      <c r="AF70" t="s">
        <v>1987</v>
      </c>
      <c r="AG70" t="s">
        <v>1981</v>
      </c>
      <c r="AH70" t="s">
        <v>1988</v>
      </c>
      <c r="AI70" t="s">
        <v>1966</v>
      </c>
      <c r="AJ70" t="s">
        <v>1989</v>
      </c>
      <c r="AK70" t="s">
        <v>1968</v>
      </c>
      <c r="AL70" t="s">
        <v>1990</v>
      </c>
      <c r="AM70" t="s">
        <v>1991</v>
      </c>
      <c r="AN70" t="s">
        <v>1992</v>
      </c>
      <c r="AO70" t="s">
        <v>1993</v>
      </c>
      <c r="AP70" t="s">
        <v>1994</v>
      </c>
    </row>
    <row r="71" spans="1:42" x14ac:dyDescent="0.25">
      <c r="A71" t="s">
        <v>1995</v>
      </c>
      <c r="B71" t="s">
        <v>1996</v>
      </c>
      <c r="C71" t="s">
        <v>1997</v>
      </c>
      <c r="D71" t="s">
        <v>1998</v>
      </c>
      <c r="E71" t="s">
        <v>1999</v>
      </c>
      <c r="F71" t="s">
        <v>2000</v>
      </c>
      <c r="G71" t="s">
        <v>2001</v>
      </c>
      <c r="H71" t="s">
        <v>2002</v>
      </c>
      <c r="I71" t="s">
        <v>2003</v>
      </c>
      <c r="J71" t="s">
        <v>2004</v>
      </c>
      <c r="K71" t="s">
        <v>2005</v>
      </c>
      <c r="L71" t="s">
        <v>2006</v>
      </c>
      <c r="M71" t="s">
        <v>2007</v>
      </c>
      <c r="N71" t="s">
        <v>2008</v>
      </c>
      <c r="O71" t="s">
        <v>2008</v>
      </c>
      <c r="P71" t="s">
        <v>2009</v>
      </c>
      <c r="Q71" t="s">
        <v>2010</v>
      </c>
      <c r="R71" t="s">
        <v>2011</v>
      </c>
      <c r="S71" t="s">
        <v>2012</v>
      </c>
      <c r="T71" t="s">
        <v>2013</v>
      </c>
      <c r="U71" t="s">
        <v>2014</v>
      </c>
      <c r="V71" t="s">
        <v>2015</v>
      </c>
      <c r="W71" t="s">
        <v>2016</v>
      </c>
      <c r="X71" t="s">
        <v>2017</v>
      </c>
      <c r="Y71" t="s">
        <v>2018</v>
      </c>
      <c r="Z71" t="s">
        <v>2000</v>
      </c>
      <c r="AA71" t="s">
        <v>2019</v>
      </c>
      <c r="AB71" t="s">
        <v>2020</v>
      </c>
      <c r="AC71" t="s">
        <v>2021</v>
      </c>
      <c r="AD71" t="s">
        <v>2022</v>
      </c>
      <c r="AE71" t="s">
        <v>2023</v>
      </c>
      <c r="AF71" t="s">
        <v>2024</v>
      </c>
      <c r="AG71" t="s">
        <v>2000</v>
      </c>
      <c r="AH71" t="s">
        <v>2005</v>
      </c>
      <c r="AI71" t="s">
        <v>2025</v>
      </c>
      <c r="AJ71" t="s">
        <v>2026</v>
      </c>
      <c r="AK71" t="s">
        <v>2027</v>
      </c>
      <c r="AL71" t="s">
        <v>2028</v>
      </c>
      <c r="AM71" t="s">
        <v>2029</v>
      </c>
      <c r="AN71" t="s">
        <v>2030</v>
      </c>
      <c r="AO71" t="s">
        <v>2031</v>
      </c>
      <c r="AP71" t="s">
        <v>2032</v>
      </c>
    </row>
    <row r="72" spans="1:42" x14ac:dyDescent="0.25">
      <c r="A72" t="s">
        <v>2033</v>
      </c>
      <c r="B72" t="s">
        <v>2034</v>
      </c>
      <c r="C72" t="s">
        <v>2035</v>
      </c>
      <c r="D72" t="s">
        <v>2036</v>
      </c>
      <c r="E72" t="s">
        <v>2037</v>
      </c>
      <c r="F72" t="s">
        <v>2038</v>
      </c>
      <c r="G72" t="s">
        <v>2039</v>
      </c>
      <c r="H72" t="s">
        <v>2040</v>
      </c>
      <c r="I72" t="s">
        <v>2041</v>
      </c>
      <c r="J72" t="s">
        <v>2042</v>
      </c>
      <c r="K72" t="s">
        <v>2043</v>
      </c>
      <c r="L72" t="s">
        <v>2044</v>
      </c>
      <c r="M72" t="s">
        <v>2045</v>
      </c>
      <c r="N72" t="s">
        <v>2046</v>
      </c>
      <c r="O72" t="s">
        <v>2046</v>
      </c>
      <c r="P72" t="s">
        <v>2047</v>
      </c>
      <c r="Q72" t="s">
        <v>2048</v>
      </c>
      <c r="R72" t="s">
        <v>2049</v>
      </c>
      <c r="S72" t="s">
        <v>2050</v>
      </c>
      <c r="T72" t="s">
        <v>2051</v>
      </c>
      <c r="U72" t="s">
        <v>2052</v>
      </c>
      <c r="V72" t="s">
        <v>2053</v>
      </c>
      <c r="W72" t="s">
        <v>2054</v>
      </c>
      <c r="X72" t="s">
        <v>2055</v>
      </c>
      <c r="Y72" t="s">
        <v>2056</v>
      </c>
      <c r="Z72" t="s">
        <v>2057</v>
      </c>
      <c r="AA72" t="s">
        <v>2058</v>
      </c>
      <c r="AB72" t="s">
        <v>2059</v>
      </c>
      <c r="AC72" t="s">
        <v>2060</v>
      </c>
      <c r="AD72" t="s">
        <v>2061</v>
      </c>
      <c r="AE72" t="s">
        <v>2062</v>
      </c>
      <c r="AF72" t="s">
        <v>2063</v>
      </c>
      <c r="AG72" t="s">
        <v>2057</v>
      </c>
      <c r="AH72" t="s">
        <v>2043</v>
      </c>
      <c r="AI72" t="s">
        <v>2064</v>
      </c>
      <c r="AJ72" t="s">
        <v>2065</v>
      </c>
      <c r="AK72" t="s">
        <v>2066</v>
      </c>
      <c r="AL72" t="s">
        <v>2067</v>
      </c>
      <c r="AM72" t="s">
        <v>2068</v>
      </c>
      <c r="AN72" t="s">
        <v>2069</v>
      </c>
      <c r="AO72" t="s">
        <v>2070</v>
      </c>
      <c r="AP72" t="s">
        <v>2071</v>
      </c>
    </row>
    <row r="73" spans="1:42" x14ac:dyDescent="0.25">
      <c r="A73" t="s">
        <v>2072</v>
      </c>
      <c r="B73" t="s">
        <v>2072</v>
      </c>
      <c r="C73" t="s">
        <v>2073</v>
      </c>
      <c r="D73" t="s">
        <v>2074</v>
      </c>
      <c r="E73" t="s">
        <v>2072</v>
      </c>
      <c r="F73" t="s">
        <v>2075</v>
      </c>
      <c r="G73" t="s">
        <v>2076</v>
      </c>
      <c r="H73" t="s">
        <v>2077</v>
      </c>
      <c r="I73" t="s">
        <v>2077</v>
      </c>
      <c r="J73" t="s">
        <v>2072</v>
      </c>
      <c r="K73" t="s">
        <v>2072</v>
      </c>
      <c r="L73" t="s">
        <v>2072</v>
      </c>
      <c r="M73" t="s">
        <v>2078</v>
      </c>
      <c r="N73" t="s">
        <v>2078</v>
      </c>
      <c r="O73" t="s">
        <v>2078</v>
      </c>
      <c r="P73" t="s">
        <v>2079</v>
      </c>
      <c r="Q73" t="s">
        <v>2072</v>
      </c>
      <c r="R73" t="s">
        <v>2080</v>
      </c>
      <c r="S73" t="s">
        <v>2081</v>
      </c>
      <c r="T73" t="s">
        <v>2072</v>
      </c>
      <c r="U73" t="s">
        <v>2072</v>
      </c>
      <c r="V73" t="s">
        <v>2082</v>
      </c>
      <c r="W73" t="s">
        <v>2072</v>
      </c>
      <c r="X73" t="s">
        <v>2083</v>
      </c>
      <c r="Y73" t="s">
        <v>2084</v>
      </c>
      <c r="Z73" t="s">
        <v>2075</v>
      </c>
      <c r="AA73" t="s">
        <v>2085</v>
      </c>
      <c r="AB73" t="s">
        <v>2072</v>
      </c>
      <c r="AC73" t="s">
        <v>2086</v>
      </c>
      <c r="AD73" t="s">
        <v>2072</v>
      </c>
      <c r="AE73" t="s">
        <v>2072</v>
      </c>
      <c r="AF73" t="s">
        <v>2072</v>
      </c>
      <c r="AG73" t="s">
        <v>2075</v>
      </c>
      <c r="AH73" t="s">
        <v>2072</v>
      </c>
      <c r="AI73" t="s">
        <v>2072</v>
      </c>
      <c r="AJ73" t="s">
        <v>2076</v>
      </c>
      <c r="AK73" t="s">
        <v>2072</v>
      </c>
      <c r="AL73" t="s">
        <v>2087</v>
      </c>
      <c r="AM73" t="s">
        <v>2072</v>
      </c>
      <c r="AN73" t="s">
        <v>2072</v>
      </c>
      <c r="AO73" t="s">
        <v>2088</v>
      </c>
      <c r="AP73" t="s">
        <v>2089</v>
      </c>
    </row>
    <row r="74" spans="1:42" x14ac:dyDescent="0.25">
      <c r="A74" t="s">
        <v>2090</v>
      </c>
      <c r="B74" t="s">
        <v>2091</v>
      </c>
      <c r="C74" t="s">
        <v>2092</v>
      </c>
      <c r="D74" t="s">
        <v>2093</v>
      </c>
      <c r="E74" t="s">
        <v>2094</v>
      </c>
      <c r="F74" t="s">
        <v>2095</v>
      </c>
      <c r="G74" t="s">
        <v>2096</v>
      </c>
      <c r="H74" t="s">
        <v>2097</v>
      </c>
      <c r="I74" t="s">
        <v>2098</v>
      </c>
      <c r="J74" t="s">
        <v>2099</v>
      </c>
      <c r="K74" t="s">
        <v>2100</v>
      </c>
      <c r="L74" t="s">
        <v>2101</v>
      </c>
      <c r="M74" t="s">
        <v>2102</v>
      </c>
      <c r="N74" t="s">
        <v>2103</v>
      </c>
      <c r="O74" t="s">
        <v>2103</v>
      </c>
      <c r="P74" t="s">
        <v>2104</v>
      </c>
      <c r="Q74" t="s">
        <v>2105</v>
      </c>
      <c r="R74" t="s">
        <v>2106</v>
      </c>
      <c r="S74" t="s">
        <v>2107</v>
      </c>
      <c r="T74" t="s">
        <v>2108</v>
      </c>
      <c r="U74" t="s">
        <v>2109</v>
      </c>
      <c r="V74" t="s">
        <v>2101</v>
      </c>
      <c r="W74" t="s">
        <v>2110</v>
      </c>
      <c r="X74" t="s">
        <v>2111</v>
      </c>
      <c r="Y74" t="s">
        <v>2112</v>
      </c>
      <c r="Z74" t="s">
        <v>2113</v>
      </c>
      <c r="AA74" t="s">
        <v>2114</v>
      </c>
      <c r="AB74" t="s">
        <v>2115</v>
      </c>
      <c r="AC74" t="s">
        <v>2116</v>
      </c>
      <c r="AD74" t="s">
        <v>2117</v>
      </c>
      <c r="AE74" t="s">
        <v>2118</v>
      </c>
      <c r="AF74" t="s">
        <v>2119</v>
      </c>
      <c r="AG74" t="s">
        <v>2113</v>
      </c>
      <c r="AH74" t="s">
        <v>2120</v>
      </c>
      <c r="AI74" t="s">
        <v>2099</v>
      </c>
      <c r="AJ74" t="s">
        <v>2121</v>
      </c>
      <c r="AK74" t="s">
        <v>2115</v>
      </c>
      <c r="AL74" t="s">
        <v>2122</v>
      </c>
      <c r="AM74" t="s">
        <v>2123</v>
      </c>
      <c r="AN74" t="s">
        <v>2090</v>
      </c>
      <c r="AO74" t="s">
        <v>2124</v>
      </c>
      <c r="AP74" t="s">
        <v>2125</v>
      </c>
    </row>
    <row r="75" spans="1:42" x14ac:dyDescent="0.25">
      <c r="A75" t="s">
        <v>2126</v>
      </c>
      <c r="B75" t="s">
        <v>2127</v>
      </c>
      <c r="C75" t="s">
        <v>2128</v>
      </c>
      <c r="D75" t="s">
        <v>2129</v>
      </c>
      <c r="E75" t="s">
        <v>2130</v>
      </c>
      <c r="F75" t="s">
        <v>2131</v>
      </c>
      <c r="G75" t="s">
        <v>2127</v>
      </c>
      <c r="H75" t="s">
        <v>2132</v>
      </c>
      <c r="I75" t="s">
        <v>2132</v>
      </c>
      <c r="J75" t="s">
        <v>2133</v>
      </c>
      <c r="K75" t="s">
        <v>2126</v>
      </c>
      <c r="L75" t="s">
        <v>2126</v>
      </c>
      <c r="M75" t="s">
        <v>2126</v>
      </c>
      <c r="N75" t="s">
        <v>2126</v>
      </c>
      <c r="O75" t="s">
        <v>2126</v>
      </c>
      <c r="P75" t="s">
        <v>2134</v>
      </c>
      <c r="Q75" t="s">
        <v>2126</v>
      </c>
      <c r="R75" t="s">
        <v>2135</v>
      </c>
      <c r="S75" t="s">
        <v>2136</v>
      </c>
      <c r="T75" t="s">
        <v>2126</v>
      </c>
      <c r="U75" t="s">
        <v>2126</v>
      </c>
      <c r="V75" t="s">
        <v>2137</v>
      </c>
      <c r="W75" t="s">
        <v>2126</v>
      </c>
      <c r="X75" t="s">
        <v>2138</v>
      </c>
      <c r="Y75" t="s">
        <v>2139</v>
      </c>
      <c r="Z75" t="s">
        <v>2140</v>
      </c>
      <c r="AA75" t="s">
        <v>2141</v>
      </c>
      <c r="AB75" t="s">
        <v>2126</v>
      </c>
      <c r="AC75" t="s">
        <v>2142</v>
      </c>
      <c r="AD75" t="s">
        <v>2141</v>
      </c>
      <c r="AE75" t="s">
        <v>2127</v>
      </c>
      <c r="AF75" t="s">
        <v>2126</v>
      </c>
      <c r="AG75" t="s">
        <v>2140</v>
      </c>
      <c r="AH75" t="s">
        <v>2143</v>
      </c>
      <c r="AI75" t="s">
        <v>2133</v>
      </c>
      <c r="AJ75" t="s">
        <v>2126</v>
      </c>
      <c r="AK75" t="s">
        <v>2126</v>
      </c>
      <c r="AL75" t="s">
        <v>2144</v>
      </c>
      <c r="AM75" t="s">
        <v>2126</v>
      </c>
      <c r="AN75" t="s">
        <v>2126</v>
      </c>
      <c r="AO75" t="s">
        <v>2131</v>
      </c>
      <c r="AP75" t="s">
        <v>2145</v>
      </c>
    </row>
    <row r="76" spans="1:42" x14ac:dyDescent="0.25">
      <c r="A76" t="s">
        <v>2146</v>
      </c>
      <c r="B76" t="s">
        <v>2147</v>
      </c>
      <c r="C76" t="s">
        <v>2148</v>
      </c>
      <c r="D76" t="s">
        <v>2149</v>
      </c>
      <c r="E76" t="s">
        <v>2150</v>
      </c>
      <c r="F76" t="s">
        <v>2151</v>
      </c>
      <c r="G76" t="s">
        <v>2152</v>
      </c>
      <c r="H76" t="s">
        <v>2153</v>
      </c>
      <c r="I76" t="s">
        <v>2153</v>
      </c>
      <c r="J76" t="s">
        <v>2154</v>
      </c>
      <c r="K76" t="s">
        <v>2155</v>
      </c>
      <c r="L76" t="s">
        <v>2156</v>
      </c>
      <c r="M76" t="s">
        <v>2157</v>
      </c>
      <c r="N76" t="s">
        <v>2158</v>
      </c>
      <c r="O76" t="s">
        <v>2158</v>
      </c>
      <c r="P76" t="s">
        <v>2159</v>
      </c>
      <c r="Q76" t="s">
        <v>2160</v>
      </c>
      <c r="R76" t="s">
        <v>2161</v>
      </c>
      <c r="S76" t="s">
        <v>2162</v>
      </c>
      <c r="T76" t="s">
        <v>2163</v>
      </c>
      <c r="U76" t="s">
        <v>2164</v>
      </c>
      <c r="V76" t="s">
        <v>2165</v>
      </c>
      <c r="W76" t="s">
        <v>2166</v>
      </c>
      <c r="X76" t="s">
        <v>2167</v>
      </c>
      <c r="Y76" t="s">
        <v>2168</v>
      </c>
      <c r="Z76" t="s">
        <v>2169</v>
      </c>
      <c r="AA76" t="s">
        <v>2168</v>
      </c>
      <c r="AB76" t="s">
        <v>2170</v>
      </c>
      <c r="AC76" t="s">
        <v>2171</v>
      </c>
      <c r="AD76" t="s">
        <v>2172</v>
      </c>
      <c r="AE76" t="s">
        <v>2152</v>
      </c>
      <c r="AF76" t="s">
        <v>2173</v>
      </c>
      <c r="AG76" t="s">
        <v>2174</v>
      </c>
      <c r="AH76" t="s">
        <v>2155</v>
      </c>
      <c r="AI76" t="s">
        <v>2175</v>
      </c>
      <c r="AJ76" t="s">
        <v>2176</v>
      </c>
      <c r="AK76" t="s">
        <v>2177</v>
      </c>
      <c r="AL76" t="s">
        <v>2178</v>
      </c>
      <c r="AM76" t="s">
        <v>2179</v>
      </c>
      <c r="AN76" t="s">
        <v>2180</v>
      </c>
      <c r="AO76" t="s">
        <v>2181</v>
      </c>
      <c r="AP76" t="s">
        <v>2182</v>
      </c>
    </row>
    <row r="77" spans="1:42" x14ac:dyDescent="0.25">
      <c r="A77" t="s">
        <v>2183</v>
      </c>
      <c r="B77" t="s">
        <v>2184</v>
      </c>
      <c r="C77" t="s">
        <v>2185</v>
      </c>
      <c r="D77" t="s">
        <v>2186</v>
      </c>
      <c r="E77" t="s">
        <v>2187</v>
      </c>
      <c r="F77" t="s">
        <v>2188</v>
      </c>
      <c r="G77" t="s">
        <v>2183</v>
      </c>
      <c r="H77" t="s">
        <v>2189</v>
      </c>
      <c r="I77" t="s">
        <v>2190</v>
      </c>
      <c r="J77" t="s">
        <v>2183</v>
      </c>
      <c r="K77" t="s">
        <v>2183</v>
      </c>
      <c r="L77" t="s">
        <v>2183</v>
      </c>
      <c r="M77" t="s">
        <v>2191</v>
      </c>
      <c r="N77" t="s">
        <v>2183</v>
      </c>
      <c r="O77" t="s">
        <v>2183</v>
      </c>
      <c r="P77" t="s">
        <v>2192</v>
      </c>
      <c r="Q77" t="s">
        <v>2183</v>
      </c>
      <c r="R77" t="s">
        <v>2193</v>
      </c>
      <c r="S77" t="s">
        <v>2194</v>
      </c>
      <c r="T77" t="s">
        <v>2183</v>
      </c>
      <c r="U77" t="s">
        <v>2183</v>
      </c>
      <c r="V77" t="s">
        <v>2183</v>
      </c>
      <c r="W77" t="s">
        <v>2183</v>
      </c>
      <c r="X77" t="s">
        <v>2195</v>
      </c>
      <c r="Y77" t="s">
        <v>2196</v>
      </c>
      <c r="Z77" t="s">
        <v>2197</v>
      </c>
      <c r="AA77" t="s">
        <v>2183</v>
      </c>
      <c r="AB77" t="s">
        <v>2183</v>
      </c>
      <c r="AC77" t="s">
        <v>2198</v>
      </c>
      <c r="AD77" t="s">
        <v>2183</v>
      </c>
      <c r="AE77" t="s">
        <v>2183</v>
      </c>
      <c r="AF77" t="s">
        <v>2183</v>
      </c>
      <c r="AG77" t="s">
        <v>2197</v>
      </c>
      <c r="AH77" t="s">
        <v>2183</v>
      </c>
      <c r="AI77" t="s">
        <v>2183</v>
      </c>
      <c r="AJ77" t="s">
        <v>2199</v>
      </c>
      <c r="AK77" t="s">
        <v>2183</v>
      </c>
      <c r="AL77" t="s">
        <v>2200</v>
      </c>
      <c r="AM77" t="s">
        <v>2183</v>
      </c>
      <c r="AN77" t="s">
        <v>2183</v>
      </c>
      <c r="AO77" t="s">
        <v>2188</v>
      </c>
      <c r="AP77" t="s">
        <v>2183</v>
      </c>
    </row>
    <row r="78" spans="1:42" x14ac:dyDescent="0.25">
      <c r="A78" t="s">
        <v>2201</v>
      </c>
      <c r="B78" t="s">
        <v>2202</v>
      </c>
      <c r="C78" t="s">
        <v>2203</v>
      </c>
      <c r="D78" t="s">
        <v>2204</v>
      </c>
      <c r="E78" t="s">
        <v>2205</v>
      </c>
      <c r="F78" t="s">
        <v>2206</v>
      </c>
      <c r="G78" t="s">
        <v>2207</v>
      </c>
      <c r="H78" t="s">
        <v>2208</v>
      </c>
      <c r="I78" t="s">
        <v>2208</v>
      </c>
      <c r="J78" t="s">
        <v>2209</v>
      </c>
      <c r="K78" t="s">
        <v>2210</v>
      </c>
      <c r="L78" t="s">
        <v>2211</v>
      </c>
      <c r="M78" t="s">
        <v>2212</v>
      </c>
      <c r="N78" t="s">
        <v>2213</v>
      </c>
      <c r="O78" t="s">
        <v>2213</v>
      </c>
      <c r="P78" t="s">
        <v>2214</v>
      </c>
      <c r="Q78" t="s">
        <v>2215</v>
      </c>
      <c r="R78" t="s">
        <v>2216</v>
      </c>
      <c r="S78" t="s">
        <v>2217</v>
      </c>
      <c r="T78" t="s">
        <v>2218</v>
      </c>
      <c r="U78" t="s">
        <v>2219</v>
      </c>
      <c r="V78" t="s">
        <v>2220</v>
      </c>
      <c r="W78" t="s">
        <v>2221</v>
      </c>
      <c r="X78" t="s">
        <v>2222</v>
      </c>
      <c r="Y78" t="s">
        <v>2223</v>
      </c>
      <c r="Z78" t="s">
        <v>2224</v>
      </c>
      <c r="AA78" t="s">
        <v>2225</v>
      </c>
      <c r="AB78" t="s">
        <v>2211</v>
      </c>
      <c r="AC78" t="s">
        <v>2226</v>
      </c>
      <c r="AD78" t="s">
        <v>2227</v>
      </c>
      <c r="AE78" t="s">
        <v>2228</v>
      </c>
      <c r="AF78" t="s">
        <v>2229</v>
      </c>
      <c r="AG78" t="s">
        <v>2230</v>
      </c>
      <c r="AH78" t="s">
        <v>2231</v>
      </c>
      <c r="AI78" t="s">
        <v>2232</v>
      </c>
      <c r="AJ78" t="s">
        <v>2233</v>
      </c>
      <c r="AK78" t="s">
        <v>2234</v>
      </c>
      <c r="AL78" t="s">
        <v>2235</v>
      </c>
      <c r="AM78" t="s">
        <v>2236</v>
      </c>
      <c r="AN78" t="s">
        <v>2237</v>
      </c>
      <c r="AO78" t="s">
        <v>2238</v>
      </c>
      <c r="AP78" t="s">
        <v>2239</v>
      </c>
    </row>
    <row r="79" spans="1:42" x14ac:dyDescent="0.25">
      <c r="A79" t="s">
        <v>2240</v>
      </c>
      <c r="B79" t="s">
        <v>2241</v>
      </c>
      <c r="C79" t="s">
        <v>2242</v>
      </c>
      <c r="D79" t="s">
        <v>2243</v>
      </c>
      <c r="E79" t="s">
        <v>2244</v>
      </c>
      <c r="F79" t="s">
        <v>2245</v>
      </c>
      <c r="G79" t="s">
        <v>2246</v>
      </c>
      <c r="H79" t="s">
        <v>2247</v>
      </c>
      <c r="I79" t="s">
        <v>2247</v>
      </c>
      <c r="J79" t="s">
        <v>2248</v>
      </c>
      <c r="K79" t="s">
        <v>2249</v>
      </c>
      <c r="L79" t="s">
        <v>2250</v>
      </c>
      <c r="M79" t="s">
        <v>2251</v>
      </c>
      <c r="N79" t="s">
        <v>2252</v>
      </c>
      <c r="O79" t="s">
        <v>2252</v>
      </c>
      <c r="P79" t="s">
        <v>2253</v>
      </c>
      <c r="Q79" t="s">
        <v>2254</v>
      </c>
      <c r="R79" t="s">
        <v>2255</v>
      </c>
      <c r="S79" t="s">
        <v>2256</v>
      </c>
      <c r="T79" t="s">
        <v>2257</v>
      </c>
      <c r="U79" t="s">
        <v>2258</v>
      </c>
      <c r="V79" t="s">
        <v>2259</v>
      </c>
      <c r="W79" t="s">
        <v>2260</v>
      </c>
      <c r="X79" t="s">
        <v>2261</v>
      </c>
      <c r="Y79" t="s">
        <v>2262</v>
      </c>
      <c r="Z79" t="s">
        <v>2263</v>
      </c>
      <c r="AA79" t="s">
        <v>2264</v>
      </c>
      <c r="AB79" t="s">
        <v>2250</v>
      </c>
      <c r="AC79" t="s">
        <v>2265</v>
      </c>
      <c r="AD79" t="s">
        <v>2266</v>
      </c>
      <c r="AE79" t="s">
        <v>2267</v>
      </c>
      <c r="AF79" t="s">
        <v>2268</v>
      </c>
      <c r="AG79" t="s">
        <v>2263</v>
      </c>
      <c r="AH79" t="s">
        <v>2249</v>
      </c>
      <c r="AI79" t="s">
        <v>2248</v>
      </c>
      <c r="AJ79" t="s">
        <v>2269</v>
      </c>
      <c r="AK79" t="s">
        <v>2250</v>
      </c>
      <c r="AL79" t="s">
        <v>2270</v>
      </c>
      <c r="AM79" t="s">
        <v>2244</v>
      </c>
      <c r="AN79" t="s">
        <v>2271</v>
      </c>
      <c r="AO79" t="s">
        <v>2272</v>
      </c>
      <c r="AP79" t="s">
        <v>2273</v>
      </c>
    </row>
    <row r="80" spans="1:42" x14ac:dyDescent="0.25">
      <c r="A80" t="s">
        <v>2274</v>
      </c>
      <c r="B80" t="s">
        <v>2275</v>
      </c>
      <c r="C80" t="s">
        <v>2276</v>
      </c>
      <c r="D80" t="s">
        <v>2277</v>
      </c>
      <c r="E80" t="s">
        <v>2278</v>
      </c>
      <c r="F80" t="s">
        <v>2279</v>
      </c>
      <c r="G80" t="s">
        <v>2280</v>
      </c>
      <c r="H80" t="s">
        <v>2281</v>
      </c>
      <c r="I80" t="s">
        <v>2281</v>
      </c>
      <c r="J80" t="s">
        <v>2282</v>
      </c>
      <c r="K80" t="s">
        <v>2274</v>
      </c>
      <c r="L80" t="s">
        <v>2283</v>
      </c>
      <c r="M80" t="s">
        <v>2284</v>
      </c>
      <c r="N80" t="s">
        <v>2284</v>
      </c>
      <c r="O80" t="s">
        <v>2284</v>
      </c>
      <c r="P80" t="s">
        <v>2285</v>
      </c>
      <c r="Q80" t="s">
        <v>2286</v>
      </c>
      <c r="R80" t="s">
        <v>2287</v>
      </c>
      <c r="S80" t="s">
        <v>2288</v>
      </c>
      <c r="T80" t="s">
        <v>2289</v>
      </c>
      <c r="U80" t="s">
        <v>2290</v>
      </c>
      <c r="V80" t="s">
        <v>2291</v>
      </c>
      <c r="W80" t="s">
        <v>2292</v>
      </c>
      <c r="X80" t="s">
        <v>2293</v>
      </c>
      <c r="Y80" t="s">
        <v>2294</v>
      </c>
      <c r="Z80" t="s">
        <v>2279</v>
      </c>
      <c r="AA80" t="s">
        <v>2295</v>
      </c>
      <c r="AB80" t="s">
        <v>2274</v>
      </c>
      <c r="AC80" t="s">
        <v>2276</v>
      </c>
      <c r="AD80" t="s">
        <v>2296</v>
      </c>
      <c r="AE80" t="s">
        <v>2297</v>
      </c>
      <c r="AF80" t="s">
        <v>2296</v>
      </c>
      <c r="AG80" t="s">
        <v>2298</v>
      </c>
      <c r="AH80" t="s">
        <v>2274</v>
      </c>
      <c r="AI80" t="s">
        <v>2296</v>
      </c>
      <c r="AJ80" t="s">
        <v>2299</v>
      </c>
      <c r="AK80" t="s">
        <v>2283</v>
      </c>
      <c r="AL80" t="s">
        <v>2300</v>
      </c>
      <c r="AM80" t="s">
        <v>2301</v>
      </c>
      <c r="AN80" t="s">
        <v>2302</v>
      </c>
      <c r="AO80" t="s">
        <v>2303</v>
      </c>
      <c r="AP80" t="s">
        <v>2276</v>
      </c>
    </row>
    <row r="81" spans="1:42" x14ac:dyDescent="0.25">
      <c r="A81" t="s">
        <v>2304</v>
      </c>
      <c r="B81" t="s">
        <v>2305</v>
      </c>
      <c r="C81" t="s">
        <v>2306</v>
      </c>
      <c r="D81" t="s">
        <v>2307</v>
      </c>
      <c r="E81" t="s">
        <v>2308</v>
      </c>
      <c r="F81" t="s">
        <v>2309</v>
      </c>
      <c r="G81" t="s">
        <v>2310</v>
      </c>
      <c r="H81" t="s">
        <v>2311</v>
      </c>
      <c r="I81" t="s">
        <v>2312</v>
      </c>
      <c r="J81" t="s">
        <v>2313</v>
      </c>
      <c r="K81" t="s">
        <v>2314</v>
      </c>
      <c r="L81" t="s">
        <v>2304</v>
      </c>
      <c r="M81" t="s">
        <v>2315</v>
      </c>
      <c r="N81" t="s">
        <v>2316</v>
      </c>
      <c r="O81" t="s">
        <v>2316</v>
      </c>
      <c r="P81" t="s">
        <v>2317</v>
      </c>
      <c r="Q81" t="s">
        <v>2318</v>
      </c>
      <c r="R81" t="s">
        <v>2319</v>
      </c>
      <c r="S81" t="s">
        <v>2320</v>
      </c>
      <c r="T81" t="s">
        <v>2321</v>
      </c>
      <c r="U81" t="s">
        <v>2322</v>
      </c>
      <c r="V81" t="s">
        <v>2323</v>
      </c>
      <c r="W81" t="s">
        <v>2324</v>
      </c>
      <c r="X81" t="s">
        <v>2325</v>
      </c>
      <c r="Y81" t="s">
        <v>2326</v>
      </c>
      <c r="Z81" t="s">
        <v>2327</v>
      </c>
      <c r="AA81" t="s">
        <v>2304</v>
      </c>
      <c r="AB81" t="s">
        <v>2304</v>
      </c>
      <c r="AC81" t="s">
        <v>2328</v>
      </c>
      <c r="AD81" t="s">
        <v>2329</v>
      </c>
      <c r="AE81" t="s">
        <v>2330</v>
      </c>
      <c r="AF81" t="s">
        <v>2331</v>
      </c>
      <c r="AG81" t="s">
        <v>2332</v>
      </c>
      <c r="AH81" t="s">
        <v>2314</v>
      </c>
      <c r="AI81" t="s">
        <v>2333</v>
      </c>
      <c r="AJ81" t="s">
        <v>2334</v>
      </c>
      <c r="AK81" t="s">
        <v>2335</v>
      </c>
      <c r="AL81" t="s">
        <v>2336</v>
      </c>
      <c r="AM81" t="s">
        <v>2337</v>
      </c>
      <c r="AN81" t="s">
        <v>2304</v>
      </c>
      <c r="AO81" t="s">
        <v>2338</v>
      </c>
      <c r="AP81" t="s">
        <v>2339</v>
      </c>
    </row>
    <row r="82" spans="1:42" x14ac:dyDescent="0.25">
      <c r="A82" t="s">
        <v>2340</v>
      </c>
      <c r="B82" t="s">
        <v>2341</v>
      </c>
      <c r="C82" t="s">
        <v>2342</v>
      </c>
      <c r="D82" t="s">
        <v>2343</v>
      </c>
      <c r="E82" t="s">
        <v>2344</v>
      </c>
      <c r="F82" t="s">
        <v>2345</v>
      </c>
      <c r="G82" t="s">
        <v>2346</v>
      </c>
      <c r="H82" t="s">
        <v>2347</v>
      </c>
      <c r="I82" t="s">
        <v>2348</v>
      </c>
      <c r="J82" t="s">
        <v>2349</v>
      </c>
      <c r="K82" t="s">
        <v>2350</v>
      </c>
      <c r="L82" t="s">
        <v>2351</v>
      </c>
      <c r="M82" t="s">
        <v>2352</v>
      </c>
      <c r="N82" t="s">
        <v>2353</v>
      </c>
      <c r="O82" t="s">
        <v>2353</v>
      </c>
      <c r="P82" t="s">
        <v>2354</v>
      </c>
      <c r="Q82" t="s">
        <v>2351</v>
      </c>
      <c r="R82" t="s">
        <v>2355</v>
      </c>
      <c r="S82" t="s">
        <v>2356</v>
      </c>
      <c r="T82" t="s">
        <v>2357</v>
      </c>
      <c r="U82" t="s">
        <v>2358</v>
      </c>
      <c r="V82" t="s">
        <v>2359</v>
      </c>
      <c r="W82" t="s">
        <v>2360</v>
      </c>
      <c r="X82" t="s">
        <v>2361</v>
      </c>
      <c r="Y82" t="s">
        <v>2362</v>
      </c>
      <c r="Z82" t="s">
        <v>2363</v>
      </c>
      <c r="AA82" t="s">
        <v>2351</v>
      </c>
      <c r="AB82" t="s">
        <v>2364</v>
      </c>
      <c r="AC82" t="s">
        <v>2365</v>
      </c>
      <c r="AD82" t="s">
        <v>2366</v>
      </c>
      <c r="AE82" t="s">
        <v>2367</v>
      </c>
      <c r="AF82" t="s">
        <v>2368</v>
      </c>
      <c r="AG82" t="s">
        <v>2369</v>
      </c>
      <c r="AH82" t="s">
        <v>2350</v>
      </c>
      <c r="AI82" t="s">
        <v>2370</v>
      </c>
      <c r="AJ82" t="s">
        <v>2367</v>
      </c>
      <c r="AK82" t="s">
        <v>2351</v>
      </c>
      <c r="AL82" t="s">
        <v>2371</v>
      </c>
      <c r="AM82" t="s">
        <v>2372</v>
      </c>
      <c r="AN82" t="s">
        <v>2340</v>
      </c>
      <c r="AO82" t="s">
        <v>2373</v>
      </c>
      <c r="AP82" t="s">
        <v>2374</v>
      </c>
    </row>
    <row r="83" spans="1:42" x14ac:dyDescent="0.25">
      <c r="A83" t="s">
        <v>2375</v>
      </c>
      <c r="B83" t="s">
        <v>2376</v>
      </c>
      <c r="C83" t="s">
        <v>2377</v>
      </c>
      <c r="D83" t="s">
        <v>2378</v>
      </c>
      <c r="E83" t="s">
        <v>2379</v>
      </c>
      <c r="F83" t="s">
        <v>2380</v>
      </c>
      <c r="G83" t="s">
        <v>2375</v>
      </c>
      <c r="H83" t="s">
        <v>2381</v>
      </c>
      <c r="I83" t="s">
        <v>2381</v>
      </c>
      <c r="J83" t="s">
        <v>2382</v>
      </c>
      <c r="K83" t="s">
        <v>2383</v>
      </c>
      <c r="L83" t="s">
        <v>2382</v>
      </c>
      <c r="M83" t="s">
        <v>2382</v>
      </c>
      <c r="N83" t="s">
        <v>2382</v>
      </c>
      <c r="O83" t="s">
        <v>2382</v>
      </c>
      <c r="P83" t="s">
        <v>2384</v>
      </c>
      <c r="Q83" t="s">
        <v>2382</v>
      </c>
      <c r="R83" t="s">
        <v>2385</v>
      </c>
      <c r="S83" t="s">
        <v>2386</v>
      </c>
      <c r="T83" t="s">
        <v>2382</v>
      </c>
      <c r="U83" t="s">
        <v>2382</v>
      </c>
      <c r="V83" t="s">
        <v>2387</v>
      </c>
      <c r="W83" t="s">
        <v>2375</v>
      </c>
      <c r="X83" t="s">
        <v>2388</v>
      </c>
      <c r="Y83" t="s">
        <v>2389</v>
      </c>
      <c r="Z83" t="s">
        <v>2380</v>
      </c>
      <c r="AA83" t="s">
        <v>2390</v>
      </c>
      <c r="AB83" t="s">
        <v>2382</v>
      </c>
      <c r="AC83" t="s">
        <v>2391</v>
      </c>
      <c r="AD83" t="s">
        <v>2382</v>
      </c>
      <c r="AE83" t="s">
        <v>2392</v>
      </c>
      <c r="AF83" t="s">
        <v>2382</v>
      </c>
      <c r="AG83" t="s">
        <v>2380</v>
      </c>
      <c r="AH83" t="s">
        <v>2382</v>
      </c>
      <c r="AI83" t="s">
        <v>2382</v>
      </c>
      <c r="AJ83" t="s">
        <v>2382</v>
      </c>
      <c r="AK83" t="s">
        <v>2382</v>
      </c>
      <c r="AL83" t="s">
        <v>2393</v>
      </c>
      <c r="AM83" t="s">
        <v>2382</v>
      </c>
      <c r="AN83" t="s">
        <v>2375</v>
      </c>
      <c r="AO83" t="s">
        <v>2394</v>
      </c>
      <c r="AP83" t="s">
        <v>2391</v>
      </c>
    </row>
    <row r="84" spans="1:42" x14ac:dyDescent="0.25">
      <c r="A84" t="s">
        <v>2395</v>
      </c>
      <c r="B84" t="s">
        <v>2396</v>
      </c>
      <c r="C84" t="s">
        <v>2397</v>
      </c>
      <c r="D84" t="s">
        <v>2398</v>
      </c>
      <c r="E84" t="s">
        <v>2399</v>
      </c>
      <c r="F84" t="s">
        <v>2400</v>
      </c>
      <c r="G84" t="s">
        <v>2401</v>
      </c>
      <c r="H84" t="s">
        <v>2402</v>
      </c>
      <c r="I84" t="s">
        <v>2402</v>
      </c>
      <c r="J84" t="s">
        <v>2403</v>
      </c>
      <c r="K84" t="s">
        <v>2404</v>
      </c>
      <c r="L84" t="s">
        <v>2405</v>
      </c>
      <c r="M84" t="s">
        <v>2406</v>
      </c>
      <c r="N84" t="s">
        <v>2407</v>
      </c>
      <c r="O84" t="s">
        <v>2407</v>
      </c>
      <c r="P84" t="s">
        <v>2408</v>
      </c>
      <c r="Q84" t="s">
        <v>2409</v>
      </c>
      <c r="R84" t="s">
        <v>2410</v>
      </c>
      <c r="S84" t="s">
        <v>2411</v>
      </c>
      <c r="T84" t="s">
        <v>2412</v>
      </c>
      <c r="U84" t="s">
        <v>2413</v>
      </c>
      <c r="V84" t="s">
        <v>2414</v>
      </c>
      <c r="W84" t="s">
        <v>2415</v>
      </c>
      <c r="X84" t="s">
        <v>2416</v>
      </c>
      <c r="Y84" t="s">
        <v>2417</v>
      </c>
      <c r="Z84" t="s">
        <v>2418</v>
      </c>
      <c r="AA84" t="s">
        <v>2419</v>
      </c>
      <c r="AB84" t="s">
        <v>2405</v>
      </c>
      <c r="AC84" t="s">
        <v>2420</v>
      </c>
      <c r="AD84" t="s">
        <v>2413</v>
      </c>
      <c r="AE84" t="s">
        <v>2401</v>
      </c>
      <c r="AF84" t="s">
        <v>2415</v>
      </c>
      <c r="AG84" t="s">
        <v>2418</v>
      </c>
      <c r="AH84" t="s">
        <v>2421</v>
      </c>
      <c r="AI84" t="s">
        <v>2403</v>
      </c>
      <c r="AJ84" t="s">
        <v>2401</v>
      </c>
      <c r="AK84" t="s">
        <v>2405</v>
      </c>
      <c r="AL84" t="s">
        <v>2422</v>
      </c>
      <c r="AM84" t="s">
        <v>2399</v>
      </c>
      <c r="AN84" t="s">
        <v>2423</v>
      </c>
      <c r="AO84" t="s">
        <v>2424</v>
      </c>
      <c r="AP84" t="s">
        <v>2425</v>
      </c>
    </row>
    <row r="85" spans="1:42" x14ac:dyDescent="0.25">
      <c r="A85" t="s">
        <v>2426</v>
      </c>
      <c r="B85" t="s">
        <v>2427</v>
      </c>
      <c r="C85" t="s">
        <v>2428</v>
      </c>
      <c r="D85" t="s">
        <v>2429</v>
      </c>
      <c r="E85" t="s">
        <v>2430</v>
      </c>
      <c r="F85" t="s">
        <v>2431</v>
      </c>
      <c r="G85" t="s">
        <v>2432</v>
      </c>
      <c r="H85" t="s">
        <v>2433</v>
      </c>
      <c r="I85" t="s">
        <v>2434</v>
      </c>
      <c r="J85" t="s">
        <v>2435</v>
      </c>
      <c r="K85" t="s">
        <v>2436</v>
      </c>
      <c r="L85" t="s">
        <v>2437</v>
      </c>
      <c r="M85" t="s">
        <v>2438</v>
      </c>
      <c r="N85" t="s">
        <v>2439</v>
      </c>
      <c r="O85" t="s">
        <v>2439</v>
      </c>
      <c r="P85" t="s">
        <v>2440</v>
      </c>
      <c r="Q85" t="s">
        <v>2441</v>
      </c>
      <c r="R85" t="s">
        <v>2442</v>
      </c>
      <c r="S85" t="s">
        <v>2443</v>
      </c>
      <c r="T85" t="s">
        <v>2444</v>
      </c>
      <c r="U85" t="s">
        <v>2445</v>
      </c>
      <c r="V85" t="s">
        <v>2446</v>
      </c>
      <c r="W85" t="s">
        <v>2426</v>
      </c>
      <c r="X85" t="s">
        <v>2447</v>
      </c>
      <c r="Y85" t="s">
        <v>2448</v>
      </c>
      <c r="Z85" t="s">
        <v>2431</v>
      </c>
      <c r="AA85" t="s">
        <v>2449</v>
      </c>
      <c r="AB85" t="s">
        <v>2450</v>
      </c>
      <c r="AC85" t="s">
        <v>2451</v>
      </c>
      <c r="AD85" t="s">
        <v>2452</v>
      </c>
      <c r="AE85" t="s">
        <v>2453</v>
      </c>
      <c r="AF85" t="s">
        <v>2426</v>
      </c>
      <c r="AG85" t="s">
        <v>2431</v>
      </c>
      <c r="AH85" t="s">
        <v>2436</v>
      </c>
      <c r="AI85" t="s">
        <v>2454</v>
      </c>
      <c r="AJ85" t="s">
        <v>2455</v>
      </c>
      <c r="AK85" t="s">
        <v>2437</v>
      </c>
      <c r="AL85" t="s">
        <v>2456</v>
      </c>
      <c r="AM85" t="s">
        <v>2457</v>
      </c>
      <c r="AN85" t="s">
        <v>2426</v>
      </c>
      <c r="AO85" t="s">
        <v>2431</v>
      </c>
      <c r="AP85" t="s">
        <v>2428</v>
      </c>
    </row>
    <row r="86" spans="1:42" x14ac:dyDescent="0.25">
      <c r="A86" t="s">
        <v>2458</v>
      </c>
      <c r="B86" t="s">
        <v>2459</v>
      </c>
      <c r="C86" t="s">
        <v>2460</v>
      </c>
      <c r="D86" t="s">
        <v>2461</v>
      </c>
      <c r="E86" t="s">
        <v>2462</v>
      </c>
      <c r="F86" t="s">
        <v>2463</v>
      </c>
      <c r="G86" t="s">
        <v>2464</v>
      </c>
      <c r="H86" t="s">
        <v>2465</v>
      </c>
      <c r="I86" t="s">
        <v>2466</v>
      </c>
      <c r="J86" t="s">
        <v>2467</v>
      </c>
      <c r="K86" t="s">
        <v>2468</v>
      </c>
      <c r="L86" t="s">
        <v>2469</v>
      </c>
      <c r="M86" t="s">
        <v>2470</v>
      </c>
      <c r="N86" t="s">
        <v>2471</v>
      </c>
      <c r="O86" t="s">
        <v>2471</v>
      </c>
      <c r="P86" t="s">
        <v>2472</v>
      </c>
      <c r="Q86" t="s">
        <v>2473</v>
      </c>
      <c r="R86" t="s">
        <v>2474</v>
      </c>
      <c r="S86" t="s">
        <v>2475</v>
      </c>
      <c r="T86" t="s">
        <v>2476</v>
      </c>
      <c r="U86" t="s">
        <v>2458</v>
      </c>
      <c r="V86" t="s">
        <v>2477</v>
      </c>
      <c r="W86" t="s">
        <v>2458</v>
      </c>
      <c r="X86" t="s">
        <v>2478</v>
      </c>
      <c r="Y86" t="s">
        <v>2467</v>
      </c>
      <c r="Z86" t="s">
        <v>2479</v>
      </c>
      <c r="AA86" t="s">
        <v>2480</v>
      </c>
      <c r="AB86" t="s">
        <v>2481</v>
      </c>
      <c r="AC86" t="s">
        <v>2482</v>
      </c>
      <c r="AD86" t="s">
        <v>2458</v>
      </c>
      <c r="AE86" t="s">
        <v>2483</v>
      </c>
      <c r="AF86" t="s">
        <v>2458</v>
      </c>
      <c r="AG86" t="s">
        <v>2484</v>
      </c>
      <c r="AH86" t="s">
        <v>2485</v>
      </c>
      <c r="AI86" t="s">
        <v>2486</v>
      </c>
      <c r="AJ86" t="s">
        <v>2458</v>
      </c>
      <c r="AK86" t="s">
        <v>2487</v>
      </c>
      <c r="AL86" t="s">
        <v>2488</v>
      </c>
      <c r="AM86" t="s">
        <v>2489</v>
      </c>
      <c r="AN86" t="s">
        <v>2490</v>
      </c>
      <c r="AO86" t="s">
        <v>2491</v>
      </c>
      <c r="AP86" t="s">
        <v>2492</v>
      </c>
    </row>
    <row r="87" spans="1:42" x14ac:dyDescent="0.25">
      <c r="A87" t="s">
        <v>2493</v>
      </c>
      <c r="B87" t="s">
        <v>2494</v>
      </c>
      <c r="C87" t="s">
        <v>2495</v>
      </c>
      <c r="D87" t="s">
        <v>2496</v>
      </c>
      <c r="E87" t="s">
        <v>2497</v>
      </c>
      <c r="F87" t="s">
        <v>2498</v>
      </c>
      <c r="G87" t="s">
        <v>2499</v>
      </c>
      <c r="H87" t="s">
        <v>2500</v>
      </c>
      <c r="I87" t="s">
        <v>2501</v>
      </c>
      <c r="J87" t="s">
        <v>2493</v>
      </c>
      <c r="K87" t="s">
        <v>2502</v>
      </c>
      <c r="L87" t="s">
        <v>2493</v>
      </c>
      <c r="M87" t="s">
        <v>2503</v>
      </c>
      <c r="N87" t="s">
        <v>2504</v>
      </c>
      <c r="O87" t="s">
        <v>2504</v>
      </c>
      <c r="P87" t="s">
        <v>2505</v>
      </c>
      <c r="Q87" t="s">
        <v>2506</v>
      </c>
      <c r="R87" t="s">
        <v>2507</v>
      </c>
      <c r="S87" t="s">
        <v>2508</v>
      </c>
      <c r="T87" t="s">
        <v>2509</v>
      </c>
      <c r="U87" t="s">
        <v>2510</v>
      </c>
      <c r="V87" t="s">
        <v>2511</v>
      </c>
      <c r="W87" t="s">
        <v>2512</v>
      </c>
      <c r="X87" t="s">
        <v>2513</v>
      </c>
      <c r="Y87" t="s">
        <v>2514</v>
      </c>
      <c r="Z87" t="s">
        <v>2515</v>
      </c>
      <c r="AA87" t="s">
        <v>2516</v>
      </c>
      <c r="AB87" t="s">
        <v>2493</v>
      </c>
      <c r="AC87" t="s">
        <v>2517</v>
      </c>
      <c r="AD87" t="s">
        <v>2494</v>
      </c>
      <c r="AE87" t="s">
        <v>2518</v>
      </c>
      <c r="AF87" t="s">
        <v>2519</v>
      </c>
      <c r="AG87" t="s">
        <v>2515</v>
      </c>
      <c r="AH87" t="s">
        <v>2520</v>
      </c>
      <c r="AI87" t="s">
        <v>2514</v>
      </c>
      <c r="AJ87" t="s">
        <v>2502</v>
      </c>
      <c r="AK87" t="s">
        <v>2506</v>
      </c>
      <c r="AL87" t="s">
        <v>2521</v>
      </c>
      <c r="AM87" t="s">
        <v>2522</v>
      </c>
      <c r="AN87" t="s">
        <v>2493</v>
      </c>
      <c r="AO87" t="s">
        <v>2523</v>
      </c>
      <c r="AP87" t="s">
        <v>2517</v>
      </c>
    </row>
    <row r="88" spans="1:42" x14ac:dyDescent="0.25">
      <c r="A88" t="s">
        <v>2524</v>
      </c>
      <c r="B88" t="s">
        <v>2525</v>
      </c>
      <c r="C88" t="s">
        <v>2526</v>
      </c>
      <c r="D88" t="s">
        <v>2527</v>
      </c>
      <c r="E88" t="s">
        <v>2528</v>
      </c>
      <c r="F88" t="s">
        <v>2529</v>
      </c>
      <c r="G88" t="s">
        <v>2530</v>
      </c>
      <c r="H88" t="s">
        <v>2531</v>
      </c>
      <c r="I88" t="s">
        <v>2532</v>
      </c>
      <c r="J88" t="s">
        <v>2533</v>
      </c>
      <c r="K88" t="s">
        <v>2533</v>
      </c>
      <c r="L88" t="s">
        <v>2524</v>
      </c>
      <c r="M88" t="s">
        <v>2524</v>
      </c>
      <c r="N88" t="s">
        <v>2530</v>
      </c>
      <c r="O88" t="s">
        <v>2530</v>
      </c>
      <c r="P88" t="s">
        <v>2534</v>
      </c>
      <c r="Q88" t="s">
        <v>2533</v>
      </c>
      <c r="R88" t="s">
        <v>2535</v>
      </c>
      <c r="S88" t="s">
        <v>2536</v>
      </c>
      <c r="T88" t="s">
        <v>2537</v>
      </c>
      <c r="U88" t="s">
        <v>2538</v>
      </c>
      <c r="V88" t="s">
        <v>2539</v>
      </c>
      <c r="W88" t="s">
        <v>2530</v>
      </c>
      <c r="X88" t="s">
        <v>2540</v>
      </c>
      <c r="Y88" t="s">
        <v>2541</v>
      </c>
      <c r="Z88" t="s">
        <v>2529</v>
      </c>
      <c r="AA88" t="s">
        <v>2542</v>
      </c>
      <c r="AB88" t="s">
        <v>2533</v>
      </c>
      <c r="AC88" t="s">
        <v>2543</v>
      </c>
      <c r="AD88" t="s">
        <v>2544</v>
      </c>
      <c r="AE88" t="s">
        <v>2530</v>
      </c>
      <c r="AF88" t="s">
        <v>2530</v>
      </c>
      <c r="AG88" t="s">
        <v>2529</v>
      </c>
      <c r="AH88" t="s">
        <v>2533</v>
      </c>
      <c r="AI88" t="s">
        <v>2533</v>
      </c>
      <c r="AJ88" t="s">
        <v>2530</v>
      </c>
      <c r="AK88" t="s">
        <v>2533</v>
      </c>
      <c r="AL88" t="s">
        <v>2545</v>
      </c>
      <c r="AM88" t="s">
        <v>2546</v>
      </c>
      <c r="AN88" t="s">
        <v>2547</v>
      </c>
      <c r="AO88" t="s">
        <v>2529</v>
      </c>
      <c r="AP88" t="s">
        <v>2548</v>
      </c>
    </row>
    <row r="89" spans="1:42" x14ac:dyDescent="0.25">
      <c r="A89" t="s">
        <v>2549</v>
      </c>
      <c r="B89" t="s">
        <v>2550</v>
      </c>
      <c r="C89" t="s">
        <v>2551</v>
      </c>
      <c r="D89" t="s">
        <v>2552</v>
      </c>
      <c r="E89" t="s">
        <v>2553</v>
      </c>
      <c r="F89" t="s">
        <v>2554</v>
      </c>
      <c r="G89" t="s">
        <v>2549</v>
      </c>
      <c r="H89" t="s">
        <v>2555</v>
      </c>
      <c r="I89" t="s">
        <v>2556</v>
      </c>
      <c r="J89" t="s">
        <v>2549</v>
      </c>
      <c r="K89" t="s">
        <v>2557</v>
      </c>
      <c r="L89" t="s">
        <v>2558</v>
      </c>
      <c r="M89" t="s">
        <v>2559</v>
      </c>
      <c r="N89" t="s">
        <v>2560</v>
      </c>
      <c r="O89" t="s">
        <v>2560</v>
      </c>
      <c r="P89" t="s">
        <v>2561</v>
      </c>
      <c r="Q89" t="s">
        <v>2558</v>
      </c>
      <c r="R89" t="s">
        <v>2562</v>
      </c>
      <c r="S89" t="s">
        <v>2563</v>
      </c>
      <c r="T89" t="s">
        <v>2564</v>
      </c>
      <c r="U89" t="s">
        <v>2549</v>
      </c>
      <c r="V89" t="s">
        <v>2565</v>
      </c>
      <c r="W89" t="s">
        <v>2549</v>
      </c>
      <c r="X89" t="s">
        <v>2566</v>
      </c>
      <c r="Y89" t="s">
        <v>2567</v>
      </c>
      <c r="Z89" t="s">
        <v>2554</v>
      </c>
      <c r="AA89" t="s">
        <v>2568</v>
      </c>
      <c r="AB89" t="s">
        <v>2558</v>
      </c>
      <c r="AC89" t="s">
        <v>2569</v>
      </c>
      <c r="AD89" t="s">
        <v>2549</v>
      </c>
      <c r="AE89" t="s">
        <v>2570</v>
      </c>
      <c r="AF89" t="s">
        <v>2549</v>
      </c>
      <c r="AG89" t="s">
        <v>2554</v>
      </c>
      <c r="AH89" t="s">
        <v>2549</v>
      </c>
      <c r="AI89" t="s">
        <v>2549</v>
      </c>
      <c r="AJ89" t="s">
        <v>2557</v>
      </c>
      <c r="AK89" t="s">
        <v>2549</v>
      </c>
      <c r="AL89" t="s">
        <v>2571</v>
      </c>
      <c r="AM89" t="s">
        <v>2572</v>
      </c>
      <c r="AN89" t="s">
        <v>2549</v>
      </c>
      <c r="AO89" t="s">
        <v>2554</v>
      </c>
      <c r="AP89" t="s">
        <v>2569</v>
      </c>
    </row>
    <row r="90" spans="1:42" x14ac:dyDescent="0.25">
      <c r="A90" t="s">
        <v>2573</v>
      </c>
      <c r="B90" t="s">
        <v>2574</v>
      </c>
      <c r="C90" t="s">
        <v>2575</v>
      </c>
      <c r="D90" t="s">
        <v>2576</v>
      </c>
      <c r="E90" t="s">
        <v>2577</v>
      </c>
      <c r="F90" t="s">
        <v>2578</v>
      </c>
      <c r="G90" t="s">
        <v>2579</v>
      </c>
      <c r="H90" t="s">
        <v>2580</v>
      </c>
      <c r="I90" t="s">
        <v>2581</v>
      </c>
      <c r="J90" t="s">
        <v>2582</v>
      </c>
      <c r="K90" t="s">
        <v>2583</v>
      </c>
      <c r="L90" t="s">
        <v>2573</v>
      </c>
      <c r="M90" t="s">
        <v>2573</v>
      </c>
      <c r="N90" t="s">
        <v>2584</v>
      </c>
      <c r="O90" t="s">
        <v>2584</v>
      </c>
      <c r="P90" t="s">
        <v>2585</v>
      </c>
      <c r="Q90" t="s">
        <v>2586</v>
      </c>
      <c r="R90" t="s">
        <v>2587</v>
      </c>
      <c r="S90" t="s">
        <v>2588</v>
      </c>
      <c r="T90" t="s">
        <v>2573</v>
      </c>
      <c r="U90" t="s">
        <v>2574</v>
      </c>
      <c r="V90" t="s">
        <v>2589</v>
      </c>
      <c r="W90" t="s">
        <v>2573</v>
      </c>
      <c r="X90" t="s">
        <v>2590</v>
      </c>
      <c r="Y90" t="s">
        <v>2582</v>
      </c>
      <c r="Z90" t="s">
        <v>2591</v>
      </c>
      <c r="AA90" t="s">
        <v>2592</v>
      </c>
      <c r="AB90" t="s">
        <v>2573</v>
      </c>
      <c r="AC90" t="s">
        <v>2593</v>
      </c>
      <c r="AD90" t="s">
        <v>2574</v>
      </c>
      <c r="AE90" t="s">
        <v>2594</v>
      </c>
      <c r="AF90" t="s">
        <v>2595</v>
      </c>
      <c r="AG90" t="s">
        <v>2591</v>
      </c>
      <c r="AH90" t="s">
        <v>2574</v>
      </c>
      <c r="AI90" t="s">
        <v>2582</v>
      </c>
      <c r="AJ90" t="s">
        <v>2573</v>
      </c>
      <c r="AK90" t="s">
        <v>2573</v>
      </c>
      <c r="AL90" t="s">
        <v>2596</v>
      </c>
      <c r="AM90" t="s">
        <v>2597</v>
      </c>
      <c r="AN90" t="s">
        <v>2573</v>
      </c>
      <c r="AO90" t="s">
        <v>2598</v>
      </c>
      <c r="AP90" t="s">
        <v>2599</v>
      </c>
    </row>
    <row r="91" spans="1:42" x14ac:dyDescent="0.25">
      <c r="A91" t="s">
        <v>2600</v>
      </c>
      <c r="B91" t="s">
        <v>2600</v>
      </c>
      <c r="C91" t="s">
        <v>2601</v>
      </c>
      <c r="D91" t="s">
        <v>2602</v>
      </c>
      <c r="E91" t="s">
        <v>2600</v>
      </c>
      <c r="F91" t="s">
        <v>2603</v>
      </c>
      <c r="G91" t="s">
        <v>2604</v>
      </c>
      <c r="H91" t="s">
        <v>2605</v>
      </c>
      <c r="I91" t="s">
        <v>2606</v>
      </c>
      <c r="J91" t="s">
        <v>2600</v>
      </c>
      <c r="K91" t="s">
        <v>2600</v>
      </c>
      <c r="L91" t="s">
        <v>2600</v>
      </c>
      <c r="M91" t="s">
        <v>2600</v>
      </c>
      <c r="N91" t="s">
        <v>2600</v>
      </c>
      <c r="O91" t="s">
        <v>2600</v>
      </c>
      <c r="P91" t="s">
        <v>2607</v>
      </c>
      <c r="Q91" t="s">
        <v>2600</v>
      </c>
      <c r="R91" t="s">
        <v>2608</v>
      </c>
      <c r="S91" t="s">
        <v>2609</v>
      </c>
      <c r="T91" t="s">
        <v>2600</v>
      </c>
      <c r="U91" t="s">
        <v>2600</v>
      </c>
      <c r="V91" t="s">
        <v>2600</v>
      </c>
      <c r="W91" t="s">
        <v>2600</v>
      </c>
      <c r="X91" t="s">
        <v>2610</v>
      </c>
      <c r="Y91" t="s">
        <v>2600</v>
      </c>
      <c r="Z91" t="s">
        <v>2603</v>
      </c>
      <c r="AA91" t="s">
        <v>2611</v>
      </c>
      <c r="AB91" t="s">
        <v>2600</v>
      </c>
      <c r="AC91" t="s">
        <v>2612</v>
      </c>
      <c r="AD91" t="s">
        <v>2600</v>
      </c>
      <c r="AE91" t="s">
        <v>2613</v>
      </c>
      <c r="AF91" t="s">
        <v>2600</v>
      </c>
      <c r="AG91" t="s">
        <v>2603</v>
      </c>
      <c r="AH91" t="s">
        <v>2600</v>
      </c>
      <c r="AI91" t="s">
        <v>2600</v>
      </c>
      <c r="AJ91" t="s">
        <v>2613</v>
      </c>
      <c r="AK91" t="s">
        <v>2600</v>
      </c>
      <c r="AL91" t="s">
        <v>2614</v>
      </c>
      <c r="AM91" t="s">
        <v>2600</v>
      </c>
      <c r="AN91" t="s">
        <v>2600</v>
      </c>
      <c r="AO91" t="s">
        <v>2603</v>
      </c>
      <c r="AP91" t="s">
        <v>2615</v>
      </c>
    </row>
    <row r="112" spans="1:42" x14ac:dyDescent="0.25">
      <c r="A112" t="s">
        <v>2616</v>
      </c>
      <c r="B112" t="s">
        <v>2616</v>
      </c>
      <c r="C112" t="s">
        <v>2616</v>
      </c>
      <c r="D112" t="s">
        <v>2616</v>
      </c>
      <c r="E112" t="s">
        <v>2616</v>
      </c>
      <c r="F112" t="s">
        <v>2616</v>
      </c>
      <c r="G112" t="s">
        <v>2616</v>
      </c>
      <c r="H112" t="s">
        <v>2616</v>
      </c>
      <c r="I112" t="s">
        <v>2616</v>
      </c>
      <c r="J112" t="s">
        <v>2616</v>
      </c>
      <c r="K112" t="s">
        <v>2616</v>
      </c>
      <c r="L112" t="s">
        <v>2616</v>
      </c>
      <c r="M112" t="s">
        <v>2617</v>
      </c>
      <c r="N112" t="s">
        <v>2616</v>
      </c>
      <c r="O112" t="s">
        <v>2616</v>
      </c>
      <c r="P112" t="s">
        <v>2616</v>
      </c>
      <c r="Q112" t="s">
        <v>2616</v>
      </c>
      <c r="R112" t="s">
        <v>2616</v>
      </c>
      <c r="S112" t="s">
        <v>2616</v>
      </c>
      <c r="T112" t="s">
        <v>2616</v>
      </c>
      <c r="U112" t="s">
        <v>2616</v>
      </c>
      <c r="V112" t="s">
        <v>2616</v>
      </c>
      <c r="W112" t="s">
        <v>2616</v>
      </c>
      <c r="X112" t="s">
        <v>2618</v>
      </c>
      <c r="Y112" t="s">
        <v>2616</v>
      </c>
      <c r="Z112" t="s">
        <v>2616</v>
      </c>
      <c r="AA112" t="s">
        <v>2616</v>
      </c>
      <c r="AB112" t="s">
        <v>2616</v>
      </c>
      <c r="AC112" t="s">
        <v>2619</v>
      </c>
      <c r="AD112" t="s">
        <v>2616</v>
      </c>
      <c r="AE112" t="s">
        <v>2616</v>
      </c>
      <c r="AF112" t="s">
        <v>2616</v>
      </c>
      <c r="AG112" t="s">
        <v>2616</v>
      </c>
      <c r="AH112" t="s">
        <v>2616</v>
      </c>
      <c r="AI112" t="s">
        <v>2616</v>
      </c>
      <c r="AJ112" t="s">
        <v>2616</v>
      </c>
      <c r="AK112" t="s">
        <v>2616</v>
      </c>
      <c r="AL112" t="s">
        <v>2620</v>
      </c>
      <c r="AM112" t="s">
        <v>2617</v>
      </c>
      <c r="AN112" t="s">
        <v>2616</v>
      </c>
      <c r="AO112" t="s">
        <v>2616</v>
      </c>
      <c r="AP112" t="s">
        <v>2621</v>
      </c>
    </row>
    <row r="113" spans="1:42" x14ac:dyDescent="0.25">
      <c r="A113" t="s">
        <v>2622</v>
      </c>
      <c r="B113" t="s">
        <v>2622</v>
      </c>
      <c r="C113" t="s">
        <v>2622</v>
      </c>
      <c r="D113" t="s">
        <v>2622</v>
      </c>
      <c r="E113" t="s">
        <v>2622</v>
      </c>
      <c r="F113" t="s">
        <v>2622</v>
      </c>
      <c r="G113" t="s">
        <v>2622</v>
      </c>
      <c r="H113" t="s">
        <v>2622</v>
      </c>
      <c r="I113" t="s">
        <v>2622</v>
      </c>
      <c r="J113" t="s">
        <v>2622</v>
      </c>
      <c r="K113" t="s">
        <v>2622</v>
      </c>
      <c r="L113" t="s">
        <v>2622</v>
      </c>
      <c r="M113" t="s">
        <v>2623</v>
      </c>
      <c r="N113" t="s">
        <v>2622</v>
      </c>
      <c r="O113" t="s">
        <v>2622</v>
      </c>
      <c r="P113" t="s">
        <v>2622</v>
      </c>
      <c r="Q113" t="s">
        <v>2622</v>
      </c>
      <c r="R113" t="s">
        <v>2622</v>
      </c>
      <c r="S113" t="s">
        <v>2622</v>
      </c>
      <c r="T113" t="s">
        <v>2622</v>
      </c>
      <c r="U113" t="s">
        <v>2622</v>
      </c>
      <c r="V113" t="s">
        <v>2622</v>
      </c>
      <c r="W113" t="s">
        <v>2622</v>
      </c>
      <c r="X113" t="s">
        <v>2624</v>
      </c>
      <c r="Y113" t="s">
        <v>2622</v>
      </c>
      <c r="Z113" t="s">
        <v>2622</v>
      </c>
      <c r="AA113" t="s">
        <v>2622</v>
      </c>
      <c r="AB113" t="s">
        <v>2622</v>
      </c>
      <c r="AC113" t="s">
        <v>2625</v>
      </c>
      <c r="AD113" t="s">
        <v>2622</v>
      </c>
      <c r="AE113" t="s">
        <v>2622</v>
      </c>
      <c r="AF113" t="s">
        <v>2622</v>
      </c>
      <c r="AG113" t="s">
        <v>2622</v>
      </c>
      <c r="AH113" t="s">
        <v>2622</v>
      </c>
      <c r="AI113" t="s">
        <v>2622</v>
      </c>
      <c r="AJ113" t="s">
        <v>2622</v>
      </c>
      <c r="AK113" t="s">
        <v>2622</v>
      </c>
      <c r="AL113" t="s">
        <v>2626</v>
      </c>
      <c r="AM113" t="s">
        <v>2623</v>
      </c>
      <c r="AN113" t="s">
        <v>2622</v>
      </c>
      <c r="AO113" t="s">
        <v>2622</v>
      </c>
      <c r="AP113" t="s">
        <v>2627</v>
      </c>
    </row>
    <row r="114" spans="1:42" x14ac:dyDescent="0.25">
      <c r="A114" t="s">
        <v>2628</v>
      </c>
      <c r="B114" t="s">
        <v>2628</v>
      </c>
      <c r="C114" t="s">
        <v>2628</v>
      </c>
      <c r="D114" t="s">
        <v>2628</v>
      </c>
      <c r="E114" t="s">
        <v>2628</v>
      </c>
      <c r="F114" t="s">
        <v>2628</v>
      </c>
      <c r="G114" t="s">
        <v>2628</v>
      </c>
      <c r="H114" t="s">
        <v>2628</v>
      </c>
      <c r="I114" t="s">
        <v>2628</v>
      </c>
      <c r="J114" t="s">
        <v>2628</v>
      </c>
      <c r="K114" t="s">
        <v>2628</v>
      </c>
      <c r="L114" t="s">
        <v>2628</v>
      </c>
      <c r="M114" t="s">
        <v>2629</v>
      </c>
      <c r="N114" t="s">
        <v>2628</v>
      </c>
      <c r="O114" t="s">
        <v>2628</v>
      </c>
      <c r="P114" t="s">
        <v>2628</v>
      </c>
      <c r="Q114" t="s">
        <v>2628</v>
      </c>
      <c r="R114" t="s">
        <v>2628</v>
      </c>
      <c r="S114" t="s">
        <v>2628</v>
      </c>
      <c r="T114" t="s">
        <v>2628</v>
      </c>
      <c r="U114" t="s">
        <v>2628</v>
      </c>
      <c r="V114" t="s">
        <v>2628</v>
      </c>
      <c r="W114" t="s">
        <v>2628</v>
      </c>
      <c r="X114" t="s">
        <v>2630</v>
      </c>
      <c r="Y114" t="s">
        <v>2628</v>
      </c>
      <c r="Z114" t="s">
        <v>2628</v>
      </c>
      <c r="AA114" t="s">
        <v>2628</v>
      </c>
      <c r="AB114" t="s">
        <v>2628</v>
      </c>
      <c r="AC114" t="s">
        <v>2631</v>
      </c>
      <c r="AD114" t="s">
        <v>2628</v>
      </c>
      <c r="AE114" t="s">
        <v>2628</v>
      </c>
      <c r="AF114" t="s">
        <v>2628</v>
      </c>
      <c r="AG114" t="s">
        <v>2628</v>
      </c>
      <c r="AH114" t="s">
        <v>2628</v>
      </c>
      <c r="AI114" t="s">
        <v>2628</v>
      </c>
      <c r="AJ114" t="s">
        <v>2628</v>
      </c>
      <c r="AK114" t="s">
        <v>2628</v>
      </c>
      <c r="AL114" t="s">
        <v>2632</v>
      </c>
      <c r="AM114" t="s">
        <v>2629</v>
      </c>
      <c r="AN114" t="s">
        <v>2628</v>
      </c>
      <c r="AO114" t="s">
        <v>2628</v>
      </c>
      <c r="AP114" t="s">
        <v>2633</v>
      </c>
    </row>
    <row r="115" spans="1:42" x14ac:dyDescent="0.25">
      <c r="A115" t="s">
        <v>2634</v>
      </c>
      <c r="B115" t="s">
        <v>2634</v>
      </c>
      <c r="C115" t="s">
        <v>2634</v>
      </c>
      <c r="D115" t="s">
        <v>2634</v>
      </c>
      <c r="E115" t="s">
        <v>2634</v>
      </c>
      <c r="F115" t="s">
        <v>2634</v>
      </c>
      <c r="G115" t="s">
        <v>2634</v>
      </c>
      <c r="H115" t="s">
        <v>2634</v>
      </c>
      <c r="I115" t="s">
        <v>2634</v>
      </c>
      <c r="J115" t="s">
        <v>2634</v>
      </c>
      <c r="K115" t="s">
        <v>2634</v>
      </c>
      <c r="L115" t="s">
        <v>2634</v>
      </c>
      <c r="M115" t="s">
        <v>2635</v>
      </c>
      <c r="N115" t="s">
        <v>2634</v>
      </c>
      <c r="O115" t="s">
        <v>2634</v>
      </c>
      <c r="P115" t="s">
        <v>2634</v>
      </c>
      <c r="Q115" t="s">
        <v>2634</v>
      </c>
      <c r="R115" t="s">
        <v>2634</v>
      </c>
      <c r="S115" t="s">
        <v>2634</v>
      </c>
      <c r="T115" t="s">
        <v>2634</v>
      </c>
      <c r="U115" t="s">
        <v>2634</v>
      </c>
      <c r="V115" t="s">
        <v>2634</v>
      </c>
      <c r="W115" t="s">
        <v>2634</v>
      </c>
      <c r="X115" t="s">
        <v>2636</v>
      </c>
      <c r="Y115" t="s">
        <v>2634</v>
      </c>
      <c r="Z115" t="s">
        <v>2634</v>
      </c>
      <c r="AA115" t="s">
        <v>2634</v>
      </c>
      <c r="AB115" t="s">
        <v>2634</v>
      </c>
      <c r="AC115" t="s">
        <v>2637</v>
      </c>
      <c r="AD115" t="s">
        <v>2634</v>
      </c>
      <c r="AE115" t="s">
        <v>2634</v>
      </c>
      <c r="AF115" t="s">
        <v>2634</v>
      </c>
      <c r="AG115" t="s">
        <v>2634</v>
      </c>
      <c r="AH115" t="s">
        <v>2634</v>
      </c>
      <c r="AI115" t="s">
        <v>2634</v>
      </c>
      <c r="AJ115" t="s">
        <v>2634</v>
      </c>
      <c r="AK115" t="s">
        <v>2634</v>
      </c>
      <c r="AL115" t="s">
        <v>2638</v>
      </c>
      <c r="AM115" t="s">
        <v>2635</v>
      </c>
      <c r="AN115" t="s">
        <v>2634</v>
      </c>
      <c r="AO115" t="s">
        <v>2634</v>
      </c>
      <c r="AP115" t="s">
        <v>2639</v>
      </c>
    </row>
    <row r="116" spans="1:42" x14ac:dyDescent="0.25">
      <c r="A116" t="s">
        <v>2640</v>
      </c>
      <c r="B116" t="s">
        <v>2640</v>
      </c>
      <c r="C116" t="s">
        <v>2640</v>
      </c>
      <c r="D116" t="s">
        <v>2640</v>
      </c>
      <c r="E116" t="s">
        <v>2640</v>
      </c>
      <c r="F116" t="s">
        <v>2640</v>
      </c>
      <c r="G116" t="s">
        <v>2640</v>
      </c>
      <c r="H116" t="s">
        <v>2640</v>
      </c>
      <c r="I116" t="s">
        <v>2640</v>
      </c>
      <c r="J116" t="s">
        <v>2640</v>
      </c>
      <c r="K116" t="s">
        <v>2640</v>
      </c>
      <c r="L116" t="s">
        <v>2640</v>
      </c>
      <c r="M116" t="s">
        <v>2641</v>
      </c>
      <c r="N116" t="s">
        <v>2640</v>
      </c>
      <c r="O116" t="s">
        <v>2640</v>
      </c>
      <c r="P116" t="s">
        <v>2640</v>
      </c>
      <c r="Q116" t="s">
        <v>2640</v>
      </c>
      <c r="R116" t="s">
        <v>2642</v>
      </c>
      <c r="S116" t="s">
        <v>2640</v>
      </c>
      <c r="T116" t="s">
        <v>2640</v>
      </c>
      <c r="U116" t="s">
        <v>2640</v>
      </c>
      <c r="V116" t="s">
        <v>2640</v>
      </c>
      <c r="W116" t="s">
        <v>2640</v>
      </c>
      <c r="X116" t="s">
        <v>2643</v>
      </c>
      <c r="Y116" t="s">
        <v>2640</v>
      </c>
      <c r="Z116" t="s">
        <v>2640</v>
      </c>
      <c r="AA116" t="s">
        <v>2644</v>
      </c>
      <c r="AB116" t="s">
        <v>2640</v>
      </c>
      <c r="AC116" t="s">
        <v>2645</v>
      </c>
      <c r="AD116" t="s">
        <v>2640</v>
      </c>
      <c r="AE116" t="s">
        <v>2640</v>
      </c>
      <c r="AF116" t="s">
        <v>2640</v>
      </c>
      <c r="AG116" t="s">
        <v>2640</v>
      </c>
      <c r="AH116" t="s">
        <v>2640</v>
      </c>
      <c r="AI116" t="s">
        <v>2640</v>
      </c>
      <c r="AJ116" t="s">
        <v>2640</v>
      </c>
      <c r="AK116" t="s">
        <v>2640</v>
      </c>
      <c r="AL116" t="s">
        <v>2646</v>
      </c>
      <c r="AM116" t="s">
        <v>2641</v>
      </c>
      <c r="AN116" t="s">
        <v>2640</v>
      </c>
      <c r="AO116" t="s">
        <v>2640</v>
      </c>
      <c r="AP116" t="s">
        <v>2647</v>
      </c>
    </row>
    <row r="117" spans="1:42" x14ac:dyDescent="0.25">
      <c r="A117" t="s">
        <v>2648</v>
      </c>
      <c r="B117" t="s">
        <v>2648</v>
      </c>
      <c r="C117" t="s">
        <v>2648</v>
      </c>
      <c r="D117" t="s">
        <v>2648</v>
      </c>
      <c r="E117" t="s">
        <v>2648</v>
      </c>
      <c r="F117" t="s">
        <v>2648</v>
      </c>
      <c r="G117" t="s">
        <v>2648</v>
      </c>
      <c r="H117" t="s">
        <v>2648</v>
      </c>
      <c r="I117" t="s">
        <v>2648</v>
      </c>
      <c r="J117" t="s">
        <v>2648</v>
      </c>
      <c r="K117" t="s">
        <v>2648</v>
      </c>
      <c r="L117" t="s">
        <v>2648</v>
      </c>
      <c r="M117" t="s">
        <v>2649</v>
      </c>
      <c r="N117" t="s">
        <v>2648</v>
      </c>
      <c r="O117" t="s">
        <v>2648</v>
      </c>
      <c r="P117" t="s">
        <v>2648</v>
      </c>
      <c r="Q117" t="s">
        <v>2648</v>
      </c>
      <c r="R117" t="s">
        <v>2650</v>
      </c>
      <c r="S117" t="s">
        <v>2648</v>
      </c>
      <c r="T117" t="s">
        <v>2648</v>
      </c>
      <c r="U117" t="s">
        <v>2648</v>
      </c>
      <c r="V117" t="s">
        <v>2648</v>
      </c>
      <c r="W117" t="s">
        <v>2648</v>
      </c>
      <c r="X117" t="s">
        <v>2651</v>
      </c>
      <c r="Y117" t="s">
        <v>2648</v>
      </c>
      <c r="Z117" t="s">
        <v>2648</v>
      </c>
      <c r="AA117" t="s">
        <v>2652</v>
      </c>
      <c r="AB117" t="s">
        <v>2648</v>
      </c>
      <c r="AC117" t="s">
        <v>2653</v>
      </c>
      <c r="AD117" t="s">
        <v>2648</v>
      </c>
      <c r="AE117" t="s">
        <v>2648</v>
      </c>
      <c r="AF117" t="s">
        <v>2648</v>
      </c>
      <c r="AG117" t="s">
        <v>2648</v>
      </c>
      <c r="AH117" t="s">
        <v>2648</v>
      </c>
      <c r="AI117" t="s">
        <v>2648</v>
      </c>
      <c r="AJ117" t="s">
        <v>2648</v>
      </c>
      <c r="AK117" t="s">
        <v>2648</v>
      </c>
      <c r="AL117" t="s">
        <v>2654</v>
      </c>
      <c r="AM117" t="s">
        <v>2649</v>
      </c>
      <c r="AN117" t="s">
        <v>2648</v>
      </c>
      <c r="AO117" t="s">
        <v>2648</v>
      </c>
      <c r="AP117" t="s">
        <v>2655</v>
      </c>
    </row>
    <row r="118" spans="1:42" x14ac:dyDescent="0.25">
      <c r="A118" t="s">
        <v>2656</v>
      </c>
      <c r="B118" t="s">
        <v>2656</v>
      </c>
      <c r="C118" t="s">
        <v>2656</v>
      </c>
      <c r="D118" t="s">
        <v>2656</v>
      </c>
      <c r="E118" t="s">
        <v>2656</v>
      </c>
      <c r="F118" t="s">
        <v>2656</v>
      </c>
      <c r="G118" t="s">
        <v>2656</v>
      </c>
      <c r="H118" t="s">
        <v>2656</v>
      </c>
      <c r="I118" t="s">
        <v>2656</v>
      </c>
      <c r="J118" t="s">
        <v>2656</v>
      </c>
      <c r="K118" t="s">
        <v>2656</v>
      </c>
      <c r="L118" t="s">
        <v>2656</v>
      </c>
      <c r="M118" t="s">
        <v>2657</v>
      </c>
      <c r="N118" t="s">
        <v>2656</v>
      </c>
      <c r="O118" t="s">
        <v>2656</v>
      </c>
      <c r="P118" t="s">
        <v>2656</v>
      </c>
      <c r="Q118" t="s">
        <v>2656</v>
      </c>
      <c r="R118" t="s">
        <v>2658</v>
      </c>
      <c r="S118" t="s">
        <v>2656</v>
      </c>
      <c r="T118" t="s">
        <v>2656</v>
      </c>
      <c r="U118" t="s">
        <v>2656</v>
      </c>
      <c r="V118" t="s">
        <v>2656</v>
      </c>
      <c r="W118" t="s">
        <v>2656</v>
      </c>
      <c r="X118" t="s">
        <v>2659</v>
      </c>
      <c r="Y118" t="s">
        <v>2656</v>
      </c>
      <c r="Z118" t="s">
        <v>2656</v>
      </c>
      <c r="AA118" t="s">
        <v>2656</v>
      </c>
      <c r="AB118" t="s">
        <v>2656</v>
      </c>
      <c r="AC118" t="s">
        <v>2660</v>
      </c>
      <c r="AD118" t="s">
        <v>2656</v>
      </c>
      <c r="AE118" t="s">
        <v>2656</v>
      </c>
      <c r="AF118" t="s">
        <v>2656</v>
      </c>
      <c r="AG118" t="s">
        <v>2656</v>
      </c>
      <c r="AH118" t="s">
        <v>2656</v>
      </c>
      <c r="AI118" t="s">
        <v>2656</v>
      </c>
      <c r="AJ118" t="s">
        <v>2656</v>
      </c>
      <c r="AK118" t="s">
        <v>2656</v>
      </c>
      <c r="AL118" t="s">
        <v>2661</v>
      </c>
      <c r="AM118" t="s">
        <v>2657</v>
      </c>
      <c r="AN118" t="s">
        <v>2656</v>
      </c>
      <c r="AO118" t="s">
        <v>2656</v>
      </c>
      <c r="AP118" t="s">
        <v>2662</v>
      </c>
    </row>
    <row r="119" spans="1:42" x14ac:dyDescent="0.25">
      <c r="A119" t="s">
        <v>2663</v>
      </c>
      <c r="B119" t="s">
        <v>2663</v>
      </c>
      <c r="C119" t="s">
        <v>2663</v>
      </c>
      <c r="D119" t="s">
        <v>2663</v>
      </c>
      <c r="E119" t="s">
        <v>2663</v>
      </c>
      <c r="F119" t="s">
        <v>2663</v>
      </c>
      <c r="G119" t="s">
        <v>2663</v>
      </c>
      <c r="H119" t="s">
        <v>2663</v>
      </c>
      <c r="I119" t="s">
        <v>2663</v>
      </c>
      <c r="J119" t="s">
        <v>2663</v>
      </c>
      <c r="K119" t="s">
        <v>2663</v>
      </c>
      <c r="L119" t="s">
        <v>2663</v>
      </c>
      <c r="M119" t="s">
        <v>2664</v>
      </c>
      <c r="N119" t="s">
        <v>2663</v>
      </c>
      <c r="O119" t="s">
        <v>2663</v>
      </c>
      <c r="P119" t="s">
        <v>2663</v>
      </c>
      <c r="Q119" t="s">
        <v>2663</v>
      </c>
      <c r="R119" t="s">
        <v>2665</v>
      </c>
      <c r="S119" t="s">
        <v>2663</v>
      </c>
      <c r="T119" t="s">
        <v>2663</v>
      </c>
      <c r="U119" t="s">
        <v>2663</v>
      </c>
      <c r="V119" t="s">
        <v>2663</v>
      </c>
      <c r="W119" t="s">
        <v>2663</v>
      </c>
      <c r="X119" t="s">
        <v>2666</v>
      </c>
      <c r="Y119" t="s">
        <v>2663</v>
      </c>
      <c r="Z119" t="s">
        <v>2663</v>
      </c>
      <c r="AA119" t="s">
        <v>2663</v>
      </c>
      <c r="AB119" t="s">
        <v>2663</v>
      </c>
      <c r="AC119" t="s">
        <v>2667</v>
      </c>
      <c r="AD119" t="s">
        <v>2663</v>
      </c>
      <c r="AE119" t="s">
        <v>2663</v>
      </c>
      <c r="AF119" t="s">
        <v>2663</v>
      </c>
      <c r="AG119" t="s">
        <v>2663</v>
      </c>
      <c r="AH119" t="s">
        <v>2663</v>
      </c>
      <c r="AI119" t="s">
        <v>2663</v>
      </c>
      <c r="AJ119" t="s">
        <v>2663</v>
      </c>
      <c r="AK119" t="s">
        <v>2663</v>
      </c>
      <c r="AL119" t="s">
        <v>2668</v>
      </c>
      <c r="AM119" t="s">
        <v>2664</v>
      </c>
      <c r="AN119" t="s">
        <v>2663</v>
      </c>
      <c r="AO119" t="s">
        <v>2663</v>
      </c>
      <c r="AP119" t="s">
        <v>2669</v>
      </c>
    </row>
    <row r="120" spans="1:42" x14ac:dyDescent="0.25">
      <c r="A120" t="s">
        <v>2670</v>
      </c>
      <c r="B120" t="s">
        <v>2670</v>
      </c>
      <c r="C120" t="s">
        <v>2670</v>
      </c>
      <c r="D120" t="s">
        <v>2670</v>
      </c>
      <c r="E120" t="s">
        <v>2670</v>
      </c>
      <c r="F120" t="s">
        <v>2670</v>
      </c>
      <c r="G120" t="s">
        <v>2670</v>
      </c>
      <c r="H120" t="s">
        <v>2670</v>
      </c>
      <c r="I120" t="s">
        <v>2670</v>
      </c>
      <c r="J120" t="s">
        <v>2670</v>
      </c>
      <c r="K120" t="s">
        <v>2670</v>
      </c>
      <c r="L120" t="s">
        <v>2670</v>
      </c>
      <c r="M120" t="s">
        <v>2671</v>
      </c>
      <c r="N120" t="s">
        <v>2670</v>
      </c>
      <c r="O120" t="s">
        <v>2670</v>
      </c>
      <c r="P120" t="s">
        <v>2670</v>
      </c>
      <c r="Q120" t="s">
        <v>2670</v>
      </c>
      <c r="R120" t="s">
        <v>2672</v>
      </c>
      <c r="S120" t="s">
        <v>2670</v>
      </c>
      <c r="T120" t="s">
        <v>2670</v>
      </c>
      <c r="U120" t="s">
        <v>2670</v>
      </c>
      <c r="V120" t="s">
        <v>2670</v>
      </c>
      <c r="W120" t="s">
        <v>2670</v>
      </c>
      <c r="X120" t="s">
        <v>2673</v>
      </c>
      <c r="Y120" t="s">
        <v>2670</v>
      </c>
      <c r="Z120" t="s">
        <v>2670</v>
      </c>
      <c r="AA120" t="s">
        <v>2670</v>
      </c>
      <c r="AB120" t="s">
        <v>2670</v>
      </c>
      <c r="AC120" t="s">
        <v>2674</v>
      </c>
      <c r="AD120" t="s">
        <v>2670</v>
      </c>
      <c r="AE120" t="s">
        <v>2670</v>
      </c>
      <c r="AF120" t="s">
        <v>2670</v>
      </c>
      <c r="AG120" t="s">
        <v>2670</v>
      </c>
      <c r="AH120" t="s">
        <v>2670</v>
      </c>
      <c r="AI120" t="s">
        <v>2670</v>
      </c>
      <c r="AJ120" t="s">
        <v>2670</v>
      </c>
      <c r="AK120" t="s">
        <v>2670</v>
      </c>
      <c r="AL120" t="s">
        <v>2675</v>
      </c>
      <c r="AM120" t="s">
        <v>2671</v>
      </c>
      <c r="AN120" t="s">
        <v>2670</v>
      </c>
      <c r="AO120" t="s">
        <v>2670</v>
      </c>
      <c r="AP120" t="s">
        <v>2676</v>
      </c>
    </row>
    <row r="121" spans="1:42" x14ac:dyDescent="0.25">
      <c r="A121" t="s">
        <v>2677</v>
      </c>
      <c r="B121" t="s">
        <v>2677</v>
      </c>
      <c r="C121" t="s">
        <v>2677</v>
      </c>
      <c r="D121" t="s">
        <v>2677</v>
      </c>
      <c r="E121" t="s">
        <v>2677</v>
      </c>
      <c r="F121" t="s">
        <v>2677</v>
      </c>
      <c r="G121" t="s">
        <v>2677</v>
      </c>
      <c r="H121" t="s">
        <v>2677</v>
      </c>
      <c r="I121" t="s">
        <v>2677</v>
      </c>
      <c r="J121" t="s">
        <v>2677</v>
      </c>
      <c r="K121" t="s">
        <v>2677</v>
      </c>
      <c r="L121" t="s">
        <v>2677</v>
      </c>
      <c r="M121" t="s">
        <v>2678</v>
      </c>
      <c r="N121" t="s">
        <v>2677</v>
      </c>
      <c r="O121" t="s">
        <v>2677</v>
      </c>
      <c r="P121" t="s">
        <v>2677</v>
      </c>
      <c r="Q121" t="s">
        <v>2677</v>
      </c>
      <c r="R121" t="s">
        <v>2679</v>
      </c>
      <c r="S121" t="s">
        <v>2677</v>
      </c>
      <c r="T121" t="s">
        <v>2677</v>
      </c>
      <c r="U121" t="s">
        <v>2677</v>
      </c>
      <c r="V121" t="s">
        <v>2677</v>
      </c>
      <c r="W121" t="s">
        <v>2677</v>
      </c>
      <c r="X121" t="s">
        <v>2680</v>
      </c>
      <c r="Y121" t="s">
        <v>2677</v>
      </c>
      <c r="Z121" t="s">
        <v>2677</v>
      </c>
      <c r="AA121" t="s">
        <v>2677</v>
      </c>
      <c r="AB121" t="s">
        <v>2677</v>
      </c>
      <c r="AC121" t="s">
        <v>2681</v>
      </c>
      <c r="AD121" t="s">
        <v>2677</v>
      </c>
      <c r="AE121" t="s">
        <v>2677</v>
      </c>
      <c r="AF121" t="s">
        <v>2677</v>
      </c>
      <c r="AG121" t="s">
        <v>2677</v>
      </c>
      <c r="AH121" t="s">
        <v>2677</v>
      </c>
      <c r="AI121" t="s">
        <v>2677</v>
      </c>
      <c r="AJ121" t="s">
        <v>2677</v>
      </c>
      <c r="AK121" t="s">
        <v>2677</v>
      </c>
      <c r="AL121" t="s">
        <v>2682</v>
      </c>
      <c r="AM121" t="s">
        <v>2678</v>
      </c>
      <c r="AN121" t="s">
        <v>2677</v>
      </c>
      <c r="AO121" t="s">
        <v>2677</v>
      </c>
      <c r="AP121" t="s">
        <v>2683</v>
      </c>
    </row>
    <row r="122" spans="1:42" x14ac:dyDescent="0.25">
      <c r="A122" t="s">
        <v>2684</v>
      </c>
      <c r="B122" t="s">
        <v>2684</v>
      </c>
      <c r="C122" t="s">
        <v>2684</v>
      </c>
      <c r="D122" t="s">
        <v>2684</v>
      </c>
      <c r="E122" t="s">
        <v>2684</v>
      </c>
      <c r="F122" t="s">
        <v>2684</v>
      </c>
      <c r="G122" t="s">
        <v>2684</v>
      </c>
      <c r="H122" t="s">
        <v>2684</v>
      </c>
      <c r="I122" t="s">
        <v>2684</v>
      </c>
      <c r="J122" t="s">
        <v>2684</v>
      </c>
      <c r="K122" t="s">
        <v>2684</v>
      </c>
      <c r="L122" t="s">
        <v>2684</v>
      </c>
      <c r="M122" t="s">
        <v>2685</v>
      </c>
      <c r="N122" t="s">
        <v>2684</v>
      </c>
      <c r="O122" t="s">
        <v>2684</v>
      </c>
      <c r="P122" t="s">
        <v>2684</v>
      </c>
      <c r="Q122" t="s">
        <v>2684</v>
      </c>
      <c r="R122" t="s">
        <v>2686</v>
      </c>
      <c r="S122" t="s">
        <v>2684</v>
      </c>
      <c r="T122" t="s">
        <v>2684</v>
      </c>
      <c r="U122" t="s">
        <v>2684</v>
      </c>
      <c r="V122" t="s">
        <v>2684</v>
      </c>
      <c r="W122" t="s">
        <v>2684</v>
      </c>
      <c r="X122" t="s">
        <v>2687</v>
      </c>
      <c r="Y122" t="s">
        <v>2684</v>
      </c>
      <c r="Z122" t="s">
        <v>2684</v>
      </c>
      <c r="AA122" t="s">
        <v>2684</v>
      </c>
      <c r="AB122" t="s">
        <v>2684</v>
      </c>
      <c r="AC122" t="s">
        <v>2688</v>
      </c>
      <c r="AD122" t="s">
        <v>2684</v>
      </c>
      <c r="AE122" t="s">
        <v>2684</v>
      </c>
      <c r="AF122" t="s">
        <v>2684</v>
      </c>
      <c r="AG122" t="s">
        <v>2684</v>
      </c>
      <c r="AH122" t="s">
        <v>2684</v>
      </c>
      <c r="AI122" t="s">
        <v>2684</v>
      </c>
      <c r="AJ122" t="s">
        <v>2684</v>
      </c>
      <c r="AK122" t="s">
        <v>2684</v>
      </c>
      <c r="AL122" t="s">
        <v>2689</v>
      </c>
      <c r="AM122" t="s">
        <v>2685</v>
      </c>
      <c r="AN122" t="s">
        <v>2684</v>
      </c>
      <c r="AO122" t="s">
        <v>2684</v>
      </c>
      <c r="AP122" t="s">
        <v>2690</v>
      </c>
    </row>
    <row r="123" spans="1:42" x14ac:dyDescent="0.25">
      <c r="A123" t="s">
        <v>2691</v>
      </c>
      <c r="B123" t="s">
        <v>2691</v>
      </c>
      <c r="C123" t="s">
        <v>2691</v>
      </c>
      <c r="D123" t="s">
        <v>2691</v>
      </c>
      <c r="E123" t="s">
        <v>2691</v>
      </c>
      <c r="F123" t="s">
        <v>2691</v>
      </c>
      <c r="G123" t="s">
        <v>2691</v>
      </c>
      <c r="H123" t="s">
        <v>2691</v>
      </c>
      <c r="I123" t="s">
        <v>2691</v>
      </c>
      <c r="J123" t="s">
        <v>2691</v>
      </c>
      <c r="K123" t="s">
        <v>2691</v>
      </c>
      <c r="L123" t="s">
        <v>2691</v>
      </c>
      <c r="M123" t="s">
        <v>2692</v>
      </c>
      <c r="N123" t="s">
        <v>2691</v>
      </c>
      <c r="O123" t="s">
        <v>2691</v>
      </c>
      <c r="P123" t="s">
        <v>2691</v>
      </c>
      <c r="Q123" t="s">
        <v>2691</v>
      </c>
      <c r="R123" t="s">
        <v>2693</v>
      </c>
      <c r="S123" t="s">
        <v>2691</v>
      </c>
      <c r="T123" t="s">
        <v>2691</v>
      </c>
      <c r="U123" t="s">
        <v>2691</v>
      </c>
      <c r="V123" t="s">
        <v>2691</v>
      </c>
      <c r="W123" t="s">
        <v>2691</v>
      </c>
      <c r="X123" t="s">
        <v>2694</v>
      </c>
      <c r="Y123" t="s">
        <v>2691</v>
      </c>
      <c r="Z123" t="s">
        <v>2691</v>
      </c>
      <c r="AA123" t="s">
        <v>2691</v>
      </c>
      <c r="AB123" t="s">
        <v>2691</v>
      </c>
      <c r="AC123" t="s">
        <v>2695</v>
      </c>
      <c r="AD123" t="s">
        <v>2691</v>
      </c>
      <c r="AE123" t="s">
        <v>2691</v>
      </c>
      <c r="AF123" t="s">
        <v>2691</v>
      </c>
      <c r="AG123" t="s">
        <v>2691</v>
      </c>
      <c r="AH123" t="s">
        <v>2691</v>
      </c>
      <c r="AI123" t="s">
        <v>2691</v>
      </c>
      <c r="AJ123" t="s">
        <v>2691</v>
      </c>
      <c r="AK123" t="s">
        <v>2691</v>
      </c>
      <c r="AL123" t="s">
        <v>2696</v>
      </c>
      <c r="AM123" t="s">
        <v>2692</v>
      </c>
      <c r="AN123" t="s">
        <v>2691</v>
      </c>
      <c r="AO123" t="s">
        <v>2691</v>
      </c>
      <c r="AP123" t="s">
        <v>2697</v>
      </c>
    </row>
    <row r="124" spans="1:42" x14ac:dyDescent="0.25">
      <c r="A124" t="s">
        <v>2698</v>
      </c>
      <c r="B124" t="s">
        <v>2698</v>
      </c>
      <c r="C124" t="s">
        <v>2698</v>
      </c>
      <c r="D124" t="s">
        <v>2698</v>
      </c>
      <c r="E124" t="s">
        <v>2698</v>
      </c>
      <c r="F124" t="s">
        <v>2698</v>
      </c>
      <c r="G124" t="s">
        <v>2698</v>
      </c>
      <c r="H124" t="s">
        <v>2698</v>
      </c>
      <c r="I124" t="s">
        <v>2698</v>
      </c>
      <c r="J124" t="s">
        <v>2698</v>
      </c>
      <c r="K124" t="s">
        <v>2698</v>
      </c>
      <c r="L124" t="s">
        <v>2698</v>
      </c>
      <c r="M124" t="s">
        <v>2699</v>
      </c>
      <c r="N124" t="s">
        <v>2698</v>
      </c>
      <c r="O124" t="s">
        <v>2698</v>
      </c>
      <c r="P124" t="s">
        <v>2698</v>
      </c>
      <c r="Q124" t="s">
        <v>2698</v>
      </c>
      <c r="R124" t="s">
        <v>2700</v>
      </c>
      <c r="S124" t="s">
        <v>2698</v>
      </c>
      <c r="T124" t="s">
        <v>2698</v>
      </c>
      <c r="U124" t="s">
        <v>2698</v>
      </c>
      <c r="V124" t="s">
        <v>2698</v>
      </c>
      <c r="W124" t="s">
        <v>2698</v>
      </c>
      <c r="X124" t="s">
        <v>2701</v>
      </c>
      <c r="Y124" t="s">
        <v>2698</v>
      </c>
      <c r="Z124" t="s">
        <v>2698</v>
      </c>
      <c r="AA124" t="s">
        <v>2702</v>
      </c>
      <c r="AB124" t="s">
        <v>2698</v>
      </c>
      <c r="AC124" t="s">
        <v>2703</v>
      </c>
      <c r="AD124" t="s">
        <v>2698</v>
      </c>
      <c r="AE124" t="s">
        <v>2698</v>
      </c>
      <c r="AF124" t="s">
        <v>2698</v>
      </c>
      <c r="AG124" t="s">
        <v>2698</v>
      </c>
      <c r="AH124" t="s">
        <v>2698</v>
      </c>
      <c r="AI124" t="s">
        <v>2698</v>
      </c>
      <c r="AJ124" t="s">
        <v>2698</v>
      </c>
      <c r="AK124" t="s">
        <v>2698</v>
      </c>
      <c r="AL124" t="s">
        <v>2704</v>
      </c>
      <c r="AM124" t="s">
        <v>2699</v>
      </c>
      <c r="AN124" t="s">
        <v>2698</v>
      </c>
      <c r="AO124" t="s">
        <v>2698</v>
      </c>
      <c r="AP124" t="s">
        <v>2705</v>
      </c>
    </row>
    <row r="125" spans="1:42" x14ac:dyDescent="0.25">
      <c r="A125" t="s">
        <v>2706</v>
      </c>
      <c r="B125" t="s">
        <v>2706</v>
      </c>
      <c r="C125" t="s">
        <v>2706</v>
      </c>
      <c r="D125" t="s">
        <v>2706</v>
      </c>
      <c r="E125" t="s">
        <v>2706</v>
      </c>
      <c r="F125" t="s">
        <v>2706</v>
      </c>
      <c r="G125" t="s">
        <v>2706</v>
      </c>
      <c r="H125" t="s">
        <v>2706</v>
      </c>
      <c r="I125" t="s">
        <v>2706</v>
      </c>
      <c r="J125" t="s">
        <v>2706</v>
      </c>
      <c r="K125" t="s">
        <v>2706</v>
      </c>
      <c r="L125" t="s">
        <v>2706</v>
      </c>
      <c r="M125" t="s">
        <v>2707</v>
      </c>
      <c r="N125" t="s">
        <v>2706</v>
      </c>
      <c r="O125" t="s">
        <v>2706</v>
      </c>
      <c r="P125" t="s">
        <v>2706</v>
      </c>
      <c r="Q125" t="s">
        <v>2706</v>
      </c>
      <c r="R125" t="s">
        <v>2708</v>
      </c>
      <c r="S125" t="s">
        <v>2706</v>
      </c>
      <c r="T125" t="s">
        <v>2706</v>
      </c>
      <c r="U125" t="s">
        <v>2706</v>
      </c>
      <c r="V125" t="s">
        <v>2706</v>
      </c>
      <c r="W125" t="s">
        <v>2706</v>
      </c>
      <c r="X125" t="s">
        <v>2709</v>
      </c>
      <c r="Y125" t="s">
        <v>2706</v>
      </c>
      <c r="Z125" t="s">
        <v>2706</v>
      </c>
      <c r="AA125" t="s">
        <v>2710</v>
      </c>
      <c r="AB125" t="s">
        <v>2706</v>
      </c>
      <c r="AC125" t="s">
        <v>2711</v>
      </c>
      <c r="AD125" t="s">
        <v>2706</v>
      </c>
      <c r="AE125" t="s">
        <v>2706</v>
      </c>
      <c r="AF125" t="s">
        <v>2706</v>
      </c>
      <c r="AG125" t="s">
        <v>2706</v>
      </c>
      <c r="AH125" t="s">
        <v>2706</v>
      </c>
      <c r="AI125" t="s">
        <v>2706</v>
      </c>
      <c r="AJ125" t="s">
        <v>2706</v>
      </c>
      <c r="AK125" t="s">
        <v>2706</v>
      </c>
      <c r="AL125" t="s">
        <v>2712</v>
      </c>
      <c r="AM125" t="s">
        <v>2707</v>
      </c>
      <c r="AN125" t="s">
        <v>2706</v>
      </c>
      <c r="AO125" t="s">
        <v>2706</v>
      </c>
      <c r="AP125" t="s">
        <v>2713</v>
      </c>
    </row>
    <row r="126" spans="1:42" x14ac:dyDescent="0.25">
      <c r="A126" t="s">
        <v>2714</v>
      </c>
      <c r="B126" t="s">
        <v>2714</v>
      </c>
      <c r="C126" t="s">
        <v>2714</v>
      </c>
      <c r="D126" t="s">
        <v>2714</v>
      </c>
      <c r="E126" t="s">
        <v>2714</v>
      </c>
      <c r="F126" t="s">
        <v>2714</v>
      </c>
      <c r="G126" t="s">
        <v>2714</v>
      </c>
      <c r="H126" t="s">
        <v>2714</v>
      </c>
      <c r="I126" t="s">
        <v>2714</v>
      </c>
      <c r="J126" t="s">
        <v>2714</v>
      </c>
      <c r="K126" t="s">
        <v>2714</v>
      </c>
      <c r="L126" t="s">
        <v>2714</v>
      </c>
      <c r="M126" t="s">
        <v>2715</v>
      </c>
      <c r="N126" t="s">
        <v>2714</v>
      </c>
      <c r="O126" t="s">
        <v>2714</v>
      </c>
      <c r="P126" t="s">
        <v>2714</v>
      </c>
      <c r="Q126" t="s">
        <v>2714</v>
      </c>
      <c r="R126" t="s">
        <v>2714</v>
      </c>
      <c r="S126" t="s">
        <v>2714</v>
      </c>
      <c r="T126" t="s">
        <v>2714</v>
      </c>
      <c r="U126" t="s">
        <v>2714</v>
      </c>
      <c r="V126" t="s">
        <v>2714</v>
      </c>
      <c r="W126" t="s">
        <v>2714</v>
      </c>
      <c r="X126" t="s">
        <v>2716</v>
      </c>
      <c r="Y126" t="s">
        <v>2714</v>
      </c>
      <c r="Z126" t="s">
        <v>2714</v>
      </c>
      <c r="AA126" t="s">
        <v>2717</v>
      </c>
      <c r="AB126" t="s">
        <v>2714</v>
      </c>
      <c r="AC126" t="s">
        <v>2718</v>
      </c>
      <c r="AD126" t="s">
        <v>2714</v>
      </c>
      <c r="AE126" t="s">
        <v>2714</v>
      </c>
      <c r="AF126" t="s">
        <v>2714</v>
      </c>
      <c r="AG126" t="s">
        <v>2714</v>
      </c>
      <c r="AH126" t="s">
        <v>2714</v>
      </c>
      <c r="AI126" t="s">
        <v>2714</v>
      </c>
      <c r="AJ126" t="s">
        <v>2714</v>
      </c>
      <c r="AK126" t="s">
        <v>2714</v>
      </c>
      <c r="AL126" t="s">
        <v>2719</v>
      </c>
      <c r="AM126" t="s">
        <v>2715</v>
      </c>
      <c r="AN126" t="s">
        <v>2714</v>
      </c>
      <c r="AO126" t="s">
        <v>2714</v>
      </c>
      <c r="AP126" t="s">
        <v>2720</v>
      </c>
    </row>
    <row r="127" spans="1:42" x14ac:dyDescent="0.25">
      <c r="A127" t="s">
        <v>2721</v>
      </c>
      <c r="B127" t="s">
        <v>2721</v>
      </c>
      <c r="C127" t="s">
        <v>2721</v>
      </c>
      <c r="D127" t="s">
        <v>2721</v>
      </c>
      <c r="E127" t="s">
        <v>2721</v>
      </c>
      <c r="F127" t="s">
        <v>2721</v>
      </c>
      <c r="G127" t="s">
        <v>2721</v>
      </c>
      <c r="H127" t="s">
        <v>2721</v>
      </c>
      <c r="I127" t="s">
        <v>2721</v>
      </c>
      <c r="J127" t="s">
        <v>2721</v>
      </c>
      <c r="K127" t="s">
        <v>2721</v>
      </c>
      <c r="L127" t="s">
        <v>2721</v>
      </c>
      <c r="M127" t="s">
        <v>2722</v>
      </c>
      <c r="N127" t="s">
        <v>2721</v>
      </c>
      <c r="O127" t="s">
        <v>2721</v>
      </c>
      <c r="P127" t="s">
        <v>2721</v>
      </c>
      <c r="Q127" t="s">
        <v>2721</v>
      </c>
      <c r="R127" t="s">
        <v>2721</v>
      </c>
      <c r="S127" t="s">
        <v>2721</v>
      </c>
      <c r="T127" t="s">
        <v>2721</v>
      </c>
      <c r="U127" t="s">
        <v>2721</v>
      </c>
      <c r="V127" t="s">
        <v>2721</v>
      </c>
      <c r="W127" t="s">
        <v>2721</v>
      </c>
      <c r="X127" t="s">
        <v>2723</v>
      </c>
      <c r="Y127" t="s">
        <v>2721</v>
      </c>
      <c r="Z127" t="s">
        <v>2721</v>
      </c>
      <c r="AA127" t="s">
        <v>2717</v>
      </c>
      <c r="AB127" t="s">
        <v>2721</v>
      </c>
      <c r="AC127" t="s">
        <v>2724</v>
      </c>
      <c r="AD127" t="s">
        <v>2721</v>
      </c>
      <c r="AE127" t="s">
        <v>2721</v>
      </c>
      <c r="AF127" t="s">
        <v>2721</v>
      </c>
      <c r="AG127" t="s">
        <v>2721</v>
      </c>
      <c r="AH127" t="s">
        <v>2721</v>
      </c>
      <c r="AI127" t="s">
        <v>2721</v>
      </c>
      <c r="AJ127" t="s">
        <v>2721</v>
      </c>
      <c r="AK127" t="s">
        <v>2721</v>
      </c>
      <c r="AL127" t="s">
        <v>2725</v>
      </c>
      <c r="AM127" t="s">
        <v>2722</v>
      </c>
      <c r="AN127" t="s">
        <v>2721</v>
      </c>
      <c r="AO127" t="s">
        <v>2721</v>
      </c>
      <c r="AP127" t="s">
        <v>2726</v>
      </c>
    </row>
    <row r="128" spans="1:42" x14ac:dyDescent="0.25">
      <c r="A128" t="s">
        <v>2727</v>
      </c>
      <c r="B128" t="s">
        <v>2728</v>
      </c>
      <c r="C128" t="s">
        <v>2727</v>
      </c>
      <c r="D128" t="s">
        <v>2727</v>
      </c>
      <c r="E128" t="s">
        <v>2729</v>
      </c>
      <c r="F128" t="s">
        <v>2727</v>
      </c>
      <c r="G128" t="s">
        <v>2730</v>
      </c>
      <c r="H128" t="s">
        <v>2731</v>
      </c>
      <c r="I128" t="s">
        <v>2727</v>
      </c>
      <c r="J128" t="s">
        <v>2727</v>
      </c>
      <c r="K128" t="s">
        <v>2732</v>
      </c>
      <c r="L128" t="s">
        <v>2732</v>
      </c>
      <c r="M128" t="s">
        <v>2727</v>
      </c>
      <c r="N128" t="s">
        <v>2732</v>
      </c>
      <c r="O128" t="s">
        <v>2727</v>
      </c>
      <c r="P128" t="s">
        <v>2733</v>
      </c>
      <c r="Q128" t="s">
        <v>2727</v>
      </c>
      <c r="R128" t="s">
        <v>2734</v>
      </c>
      <c r="S128" t="s">
        <v>2727</v>
      </c>
      <c r="T128" t="s">
        <v>2735</v>
      </c>
      <c r="U128" t="s">
        <v>2727</v>
      </c>
      <c r="V128" t="s">
        <v>2727</v>
      </c>
      <c r="W128" t="s">
        <v>2727</v>
      </c>
      <c r="X128" t="s">
        <v>2736</v>
      </c>
      <c r="Y128" t="s">
        <v>2737</v>
      </c>
      <c r="Z128" t="s">
        <v>2738</v>
      </c>
      <c r="AA128" t="s">
        <v>2739</v>
      </c>
      <c r="AB128" t="s">
        <v>2732</v>
      </c>
      <c r="AC128" t="s">
        <v>2740</v>
      </c>
      <c r="AD128" t="s">
        <v>2727</v>
      </c>
      <c r="AE128" t="s">
        <v>2727</v>
      </c>
      <c r="AF128" t="s">
        <v>2741</v>
      </c>
      <c r="AG128" t="s">
        <v>2742</v>
      </c>
      <c r="AH128" t="s">
        <v>2732</v>
      </c>
      <c r="AI128" t="s">
        <v>2727</v>
      </c>
      <c r="AJ128" t="s">
        <v>2727</v>
      </c>
      <c r="AK128" t="s">
        <v>2727</v>
      </c>
      <c r="AL128" t="s">
        <v>2743</v>
      </c>
      <c r="AM128" t="s">
        <v>2730</v>
      </c>
      <c r="AN128" t="s">
        <v>2744</v>
      </c>
      <c r="AO128" t="s">
        <v>2745</v>
      </c>
      <c r="AP128" t="s">
        <v>2746</v>
      </c>
    </row>
    <row r="129" spans="1:42" x14ac:dyDescent="0.25">
      <c r="A129" t="s">
        <v>2747</v>
      </c>
      <c r="B129" t="s">
        <v>2748</v>
      </c>
      <c r="C129" t="s">
        <v>2747</v>
      </c>
      <c r="D129" t="s">
        <v>2747</v>
      </c>
      <c r="E129" t="s">
        <v>2749</v>
      </c>
      <c r="F129" t="s">
        <v>2747</v>
      </c>
      <c r="G129" t="s">
        <v>2750</v>
      </c>
      <c r="H129" t="s">
        <v>2751</v>
      </c>
      <c r="I129" t="s">
        <v>2747</v>
      </c>
      <c r="J129" t="s">
        <v>2747</v>
      </c>
      <c r="K129" t="s">
        <v>2752</v>
      </c>
      <c r="L129" t="s">
        <v>2752</v>
      </c>
      <c r="M129" t="s">
        <v>2747</v>
      </c>
      <c r="N129" t="s">
        <v>2752</v>
      </c>
      <c r="O129" t="s">
        <v>2747</v>
      </c>
      <c r="P129" t="s">
        <v>2753</v>
      </c>
      <c r="Q129" t="s">
        <v>2747</v>
      </c>
      <c r="R129" t="s">
        <v>2754</v>
      </c>
      <c r="S129" t="s">
        <v>2747</v>
      </c>
      <c r="T129" t="s">
        <v>2755</v>
      </c>
      <c r="U129" t="s">
        <v>2747</v>
      </c>
      <c r="V129" t="s">
        <v>2747</v>
      </c>
      <c r="W129" t="s">
        <v>2747</v>
      </c>
      <c r="X129" t="s">
        <v>2756</v>
      </c>
      <c r="Y129" t="s">
        <v>2757</v>
      </c>
      <c r="Z129" t="s">
        <v>2758</v>
      </c>
      <c r="AA129" t="s">
        <v>2759</v>
      </c>
      <c r="AB129" t="s">
        <v>2752</v>
      </c>
      <c r="AC129" t="s">
        <v>2760</v>
      </c>
      <c r="AD129" t="s">
        <v>2747</v>
      </c>
      <c r="AE129" t="s">
        <v>2747</v>
      </c>
      <c r="AF129" t="s">
        <v>2761</v>
      </c>
      <c r="AG129" t="s">
        <v>2762</v>
      </c>
      <c r="AH129" t="s">
        <v>2752</v>
      </c>
      <c r="AI129" t="s">
        <v>2747</v>
      </c>
      <c r="AJ129" t="s">
        <v>2747</v>
      </c>
      <c r="AK129" t="s">
        <v>2747</v>
      </c>
      <c r="AL129" t="s">
        <v>2763</v>
      </c>
      <c r="AM129" t="s">
        <v>2750</v>
      </c>
      <c r="AN129" t="s">
        <v>2764</v>
      </c>
      <c r="AO129" t="s">
        <v>2765</v>
      </c>
      <c r="AP129" t="s">
        <v>2766</v>
      </c>
    </row>
    <row r="130" spans="1:42" x14ac:dyDescent="0.25">
      <c r="A130" t="s">
        <v>2767</v>
      </c>
      <c r="B130" t="s">
        <v>2768</v>
      </c>
      <c r="C130" t="s">
        <v>2767</v>
      </c>
      <c r="D130" t="s">
        <v>2767</v>
      </c>
      <c r="E130" t="s">
        <v>2769</v>
      </c>
      <c r="F130" t="s">
        <v>2767</v>
      </c>
      <c r="G130" t="s">
        <v>2770</v>
      </c>
      <c r="H130" t="s">
        <v>2771</v>
      </c>
      <c r="I130" t="s">
        <v>2767</v>
      </c>
      <c r="J130" t="s">
        <v>2767</v>
      </c>
      <c r="K130" t="s">
        <v>2772</v>
      </c>
      <c r="L130" t="s">
        <v>2772</v>
      </c>
      <c r="M130" t="s">
        <v>2767</v>
      </c>
      <c r="N130" t="s">
        <v>2772</v>
      </c>
      <c r="O130" t="s">
        <v>2767</v>
      </c>
      <c r="P130" t="s">
        <v>2773</v>
      </c>
      <c r="Q130" t="s">
        <v>2767</v>
      </c>
      <c r="R130" t="s">
        <v>2774</v>
      </c>
      <c r="S130" t="s">
        <v>2767</v>
      </c>
      <c r="T130" t="s">
        <v>2775</v>
      </c>
      <c r="U130" t="s">
        <v>2767</v>
      </c>
      <c r="V130" t="s">
        <v>2767</v>
      </c>
      <c r="W130" t="s">
        <v>2767</v>
      </c>
      <c r="X130" t="s">
        <v>2776</v>
      </c>
      <c r="Y130" t="s">
        <v>2777</v>
      </c>
      <c r="Z130" t="s">
        <v>2778</v>
      </c>
      <c r="AA130" t="s">
        <v>2779</v>
      </c>
      <c r="AB130" t="s">
        <v>2772</v>
      </c>
      <c r="AC130" t="s">
        <v>2780</v>
      </c>
      <c r="AD130" t="s">
        <v>2767</v>
      </c>
      <c r="AE130" t="s">
        <v>2767</v>
      </c>
      <c r="AF130" t="s">
        <v>2781</v>
      </c>
      <c r="AG130" t="s">
        <v>2782</v>
      </c>
      <c r="AH130" t="s">
        <v>2772</v>
      </c>
      <c r="AI130" t="s">
        <v>2767</v>
      </c>
      <c r="AJ130" t="s">
        <v>2767</v>
      </c>
      <c r="AK130" t="s">
        <v>2767</v>
      </c>
      <c r="AL130" t="s">
        <v>2783</v>
      </c>
      <c r="AM130" t="s">
        <v>2770</v>
      </c>
      <c r="AN130" t="s">
        <v>2784</v>
      </c>
      <c r="AO130" t="s">
        <v>2785</v>
      </c>
      <c r="AP130" t="s">
        <v>2786</v>
      </c>
    </row>
    <row r="131" spans="1:42" x14ac:dyDescent="0.25">
      <c r="A131" t="s">
        <v>2787</v>
      </c>
      <c r="B131" t="s">
        <v>2788</v>
      </c>
      <c r="C131" t="s">
        <v>2787</v>
      </c>
      <c r="D131" t="s">
        <v>2787</v>
      </c>
      <c r="E131" t="s">
        <v>2789</v>
      </c>
      <c r="F131" t="s">
        <v>2787</v>
      </c>
      <c r="G131" t="s">
        <v>2790</v>
      </c>
      <c r="H131" t="s">
        <v>2791</v>
      </c>
      <c r="I131" t="s">
        <v>2787</v>
      </c>
      <c r="J131" t="s">
        <v>2787</v>
      </c>
      <c r="K131" t="s">
        <v>2792</v>
      </c>
      <c r="L131" t="s">
        <v>2792</v>
      </c>
      <c r="M131" t="s">
        <v>2787</v>
      </c>
      <c r="N131" t="s">
        <v>2792</v>
      </c>
      <c r="O131" t="s">
        <v>2787</v>
      </c>
      <c r="P131" t="s">
        <v>2793</v>
      </c>
      <c r="Q131" t="s">
        <v>2787</v>
      </c>
      <c r="R131" t="s">
        <v>2794</v>
      </c>
      <c r="S131" t="s">
        <v>2787</v>
      </c>
      <c r="T131" t="s">
        <v>2795</v>
      </c>
      <c r="U131" t="s">
        <v>2787</v>
      </c>
      <c r="V131" t="s">
        <v>2787</v>
      </c>
      <c r="W131" t="s">
        <v>2787</v>
      </c>
      <c r="X131" t="s">
        <v>2796</v>
      </c>
      <c r="Y131" t="s">
        <v>2797</v>
      </c>
      <c r="Z131" t="s">
        <v>2798</v>
      </c>
      <c r="AA131" t="s">
        <v>2799</v>
      </c>
      <c r="AB131" t="s">
        <v>2792</v>
      </c>
      <c r="AC131" t="s">
        <v>2800</v>
      </c>
      <c r="AD131" t="s">
        <v>2787</v>
      </c>
      <c r="AE131" t="s">
        <v>2787</v>
      </c>
      <c r="AF131" t="s">
        <v>2801</v>
      </c>
      <c r="AG131" t="s">
        <v>2802</v>
      </c>
      <c r="AH131" t="s">
        <v>2792</v>
      </c>
      <c r="AI131" t="s">
        <v>2787</v>
      </c>
      <c r="AJ131" t="s">
        <v>2787</v>
      </c>
      <c r="AK131" t="s">
        <v>2787</v>
      </c>
      <c r="AL131" t="s">
        <v>2803</v>
      </c>
      <c r="AM131" t="s">
        <v>2790</v>
      </c>
      <c r="AN131" t="s">
        <v>2804</v>
      </c>
      <c r="AO131" t="s">
        <v>2805</v>
      </c>
      <c r="AP131" t="s">
        <v>2806</v>
      </c>
    </row>
    <row r="132" spans="1:42" x14ac:dyDescent="0.25">
      <c r="A132" t="s">
        <v>2807</v>
      </c>
      <c r="B132" t="s">
        <v>2808</v>
      </c>
      <c r="C132" t="s">
        <v>2807</v>
      </c>
      <c r="D132" t="s">
        <v>2807</v>
      </c>
      <c r="E132" t="s">
        <v>2809</v>
      </c>
      <c r="F132" t="s">
        <v>2807</v>
      </c>
      <c r="G132" t="s">
        <v>2810</v>
      </c>
      <c r="H132" t="s">
        <v>2811</v>
      </c>
      <c r="I132" t="s">
        <v>2807</v>
      </c>
      <c r="J132" t="s">
        <v>2807</v>
      </c>
      <c r="K132" t="s">
        <v>2812</v>
      </c>
      <c r="L132" t="s">
        <v>2812</v>
      </c>
      <c r="M132" t="s">
        <v>2807</v>
      </c>
      <c r="N132" t="s">
        <v>2812</v>
      </c>
      <c r="O132" t="s">
        <v>2807</v>
      </c>
      <c r="P132" t="s">
        <v>2813</v>
      </c>
      <c r="Q132" t="s">
        <v>2807</v>
      </c>
      <c r="R132" t="s">
        <v>2814</v>
      </c>
      <c r="S132" t="s">
        <v>2807</v>
      </c>
      <c r="T132" t="s">
        <v>2815</v>
      </c>
      <c r="U132" t="s">
        <v>2807</v>
      </c>
      <c r="V132" t="s">
        <v>2807</v>
      </c>
      <c r="W132" t="s">
        <v>2807</v>
      </c>
      <c r="X132" t="s">
        <v>2816</v>
      </c>
      <c r="Y132" t="s">
        <v>2817</v>
      </c>
      <c r="Z132" t="s">
        <v>2818</v>
      </c>
      <c r="AA132" t="s">
        <v>2819</v>
      </c>
      <c r="AB132" t="s">
        <v>2812</v>
      </c>
      <c r="AC132" t="s">
        <v>2820</v>
      </c>
      <c r="AD132" t="s">
        <v>2807</v>
      </c>
      <c r="AE132" t="s">
        <v>2807</v>
      </c>
      <c r="AF132" t="s">
        <v>2821</v>
      </c>
      <c r="AG132" t="s">
        <v>2822</v>
      </c>
      <c r="AH132" t="s">
        <v>2812</v>
      </c>
      <c r="AI132" t="s">
        <v>2807</v>
      </c>
      <c r="AJ132" t="s">
        <v>2807</v>
      </c>
      <c r="AK132" t="s">
        <v>2807</v>
      </c>
      <c r="AL132" t="s">
        <v>2823</v>
      </c>
      <c r="AM132" t="s">
        <v>2810</v>
      </c>
      <c r="AN132" t="s">
        <v>2824</v>
      </c>
      <c r="AO132" t="s">
        <v>2825</v>
      </c>
      <c r="AP132" t="s">
        <v>2826</v>
      </c>
    </row>
    <row r="133" spans="1:42" x14ac:dyDescent="0.25">
      <c r="A133" t="s">
        <v>2827</v>
      </c>
      <c r="B133" t="s">
        <v>2828</v>
      </c>
      <c r="C133" t="s">
        <v>2827</v>
      </c>
      <c r="D133" t="s">
        <v>2827</v>
      </c>
      <c r="E133" t="s">
        <v>2829</v>
      </c>
      <c r="F133" t="s">
        <v>2827</v>
      </c>
      <c r="G133" t="s">
        <v>2830</v>
      </c>
      <c r="H133" t="s">
        <v>2831</v>
      </c>
      <c r="I133" t="s">
        <v>2827</v>
      </c>
      <c r="J133" t="s">
        <v>2827</v>
      </c>
      <c r="K133" t="s">
        <v>2832</v>
      </c>
      <c r="L133" t="s">
        <v>2832</v>
      </c>
      <c r="M133" t="s">
        <v>2827</v>
      </c>
      <c r="N133" t="s">
        <v>2832</v>
      </c>
      <c r="O133" t="s">
        <v>2827</v>
      </c>
      <c r="P133" t="s">
        <v>2833</v>
      </c>
      <c r="Q133" t="s">
        <v>2827</v>
      </c>
      <c r="R133" t="s">
        <v>2834</v>
      </c>
      <c r="S133" t="s">
        <v>2827</v>
      </c>
      <c r="T133" t="s">
        <v>2835</v>
      </c>
      <c r="U133" t="s">
        <v>2827</v>
      </c>
      <c r="V133" t="s">
        <v>2827</v>
      </c>
      <c r="W133" t="s">
        <v>2827</v>
      </c>
      <c r="X133" t="s">
        <v>2836</v>
      </c>
      <c r="Y133" t="s">
        <v>2837</v>
      </c>
      <c r="Z133" t="s">
        <v>2838</v>
      </c>
      <c r="AA133" t="s">
        <v>2839</v>
      </c>
      <c r="AB133" t="s">
        <v>2832</v>
      </c>
      <c r="AC133" t="s">
        <v>2840</v>
      </c>
      <c r="AD133" t="s">
        <v>2827</v>
      </c>
      <c r="AE133" t="s">
        <v>2827</v>
      </c>
      <c r="AF133" t="s">
        <v>2841</v>
      </c>
      <c r="AG133" t="s">
        <v>2842</v>
      </c>
      <c r="AH133" t="s">
        <v>2832</v>
      </c>
      <c r="AI133" t="s">
        <v>2827</v>
      </c>
      <c r="AJ133" t="s">
        <v>2827</v>
      </c>
      <c r="AK133" t="s">
        <v>2827</v>
      </c>
      <c r="AL133" t="s">
        <v>2843</v>
      </c>
      <c r="AM133" t="s">
        <v>2830</v>
      </c>
      <c r="AN133" t="s">
        <v>2844</v>
      </c>
      <c r="AO133" t="s">
        <v>2845</v>
      </c>
      <c r="AP133" t="s">
        <v>2846</v>
      </c>
    </row>
    <row r="134" spans="1:42" x14ac:dyDescent="0.25">
      <c r="A134" t="s">
        <v>2847</v>
      </c>
      <c r="B134" t="s">
        <v>2848</v>
      </c>
      <c r="C134" t="s">
        <v>2847</v>
      </c>
      <c r="D134" t="s">
        <v>2847</v>
      </c>
      <c r="E134" t="s">
        <v>2849</v>
      </c>
      <c r="F134" t="s">
        <v>2847</v>
      </c>
      <c r="G134" t="s">
        <v>2850</v>
      </c>
      <c r="H134" t="s">
        <v>2851</v>
      </c>
      <c r="I134" t="s">
        <v>2847</v>
      </c>
      <c r="J134" t="s">
        <v>2847</v>
      </c>
      <c r="K134" t="s">
        <v>2852</v>
      </c>
      <c r="L134" t="s">
        <v>2852</v>
      </c>
      <c r="M134" t="s">
        <v>2847</v>
      </c>
      <c r="N134" t="s">
        <v>2852</v>
      </c>
      <c r="O134" t="s">
        <v>2847</v>
      </c>
      <c r="P134" t="s">
        <v>2853</v>
      </c>
      <c r="Q134" t="s">
        <v>2847</v>
      </c>
      <c r="R134" t="s">
        <v>2854</v>
      </c>
      <c r="S134" t="s">
        <v>2847</v>
      </c>
      <c r="T134" t="s">
        <v>2855</v>
      </c>
      <c r="U134" t="s">
        <v>2847</v>
      </c>
      <c r="V134" t="s">
        <v>2847</v>
      </c>
      <c r="W134" t="s">
        <v>2847</v>
      </c>
      <c r="X134" t="s">
        <v>2856</v>
      </c>
      <c r="Y134" t="s">
        <v>2857</v>
      </c>
      <c r="Z134" t="s">
        <v>2858</v>
      </c>
      <c r="AA134" t="s">
        <v>2859</v>
      </c>
      <c r="AB134" t="s">
        <v>2852</v>
      </c>
      <c r="AC134" t="s">
        <v>2860</v>
      </c>
      <c r="AD134" t="s">
        <v>2847</v>
      </c>
      <c r="AE134" t="s">
        <v>2847</v>
      </c>
      <c r="AF134" t="s">
        <v>2861</v>
      </c>
      <c r="AG134" t="s">
        <v>2862</v>
      </c>
      <c r="AH134" t="s">
        <v>2852</v>
      </c>
      <c r="AI134" t="s">
        <v>2847</v>
      </c>
      <c r="AJ134" t="s">
        <v>2847</v>
      </c>
      <c r="AK134" t="s">
        <v>2847</v>
      </c>
      <c r="AL134" t="s">
        <v>2863</v>
      </c>
      <c r="AM134" t="s">
        <v>2850</v>
      </c>
      <c r="AN134" t="s">
        <v>2864</v>
      </c>
      <c r="AO134" t="s">
        <v>2865</v>
      </c>
      <c r="AP134" t="s">
        <v>2866</v>
      </c>
    </row>
    <row r="135" spans="1:42" x14ac:dyDescent="0.25">
      <c r="A135" t="s">
        <v>2867</v>
      </c>
      <c r="B135" t="s">
        <v>2868</v>
      </c>
      <c r="C135" t="s">
        <v>2867</v>
      </c>
      <c r="D135" t="s">
        <v>2867</v>
      </c>
      <c r="E135" t="s">
        <v>2869</v>
      </c>
      <c r="F135" t="s">
        <v>2867</v>
      </c>
      <c r="G135" t="s">
        <v>2870</v>
      </c>
      <c r="H135" t="s">
        <v>2871</v>
      </c>
      <c r="I135" t="s">
        <v>2867</v>
      </c>
      <c r="J135" t="s">
        <v>2867</v>
      </c>
      <c r="K135" t="s">
        <v>2872</v>
      </c>
      <c r="L135" t="s">
        <v>2872</v>
      </c>
      <c r="M135" t="s">
        <v>2867</v>
      </c>
      <c r="N135" t="s">
        <v>2872</v>
      </c>
      <c r="O135" t="s">
        <v>2867</v>
      </c>
      <c r="P135" t="s">
        <v>2873</v>
      </c>
      <c r="Q135" t="s">
        <v>2867</v>
      </c>
      <c r="R135" t="s">
        <v>2874</v>
      </c>
      <c r="S135" t="s">
        <v>2867</v>
      </c>
      <c r="T135" t="s">
        <v>2875</v>
      </c>
      <c r="U135" t="s">
        <v>2867</v>
      </c>
      <c r="V135" t="s">
        <v>2867</v>
      </c>
      <c r="W135" t="s">
        <v>2867</v>
      </c>
      <c r="X135" t="s">
        <v>2876</v>
      </c>
      <c r="Y135" t="s">
        <v>2877</v>
      </c>
      <c r="Z135" t="s">
        <v>2878</v>
      </c>
      <c r="AA135" t="s">
        <v>2879</v>
      </c>
      <c r="AB135" t="s">
        <v>2872</v>
      </c>
      <c r="AC135" t="s">
        <v>2880</v>
      </c>
      <c r="AD135" t="s">
        <v>2867</v>
      </c>
      <c r="AE135" t="s">
        <v>2867</v>
      </c>
      <c r="AF135" t="s">
        <v>2881</v>
      </c>
      <c r="AG135" t="s">
        <v>2882</v>
      </c>
      <c r="AH135" t="s">
        <v>2872</v>
      </c>
      <c r="AI135" t="s">
        <v>2867</v>
      </c>
      <c r="AJ135" t="s">
        <v>2867</v>
      </c>
      <c r="AK135" t="s">
        <v>2867</v>
      </c>
      <c r="AL135" t="s">
        <v>2883</v>
      </c>
      <c r="AM135" t="s">
        <v>2870</v>
      </c>
      <c r="AN135" t="s">
        <v>2884</v>
      </c>
      <c r="AO135" t="s">
        <v>2885</v>
      </c>
      <c r="AP135" t="s">
        <v>2886</v>
      </c>
    </row>
    <row r="136" spans="1:42" x14ac:dyDescent="0.25">
      <c r="A136" t="s">
        <v>2887</v>
      </c>
      <c r="B136" t="s">
        <v>2888</v>
      </c>
      <c r="C136" t="s">
        <v>2887</v>
      </c>
      <c r="D136" t="s">
        <v>2887</v>
      </c>
      <c r="E136" t="s">
        <v>2889</v>
      </c>
      <c r="F136" t="s">
        <v>2887</v>
      </c>
      <c r="G136" t="s">
        <v>2890</v>
      </c>
      <c r="H136" t="s">
        <v>2891</v>
      </c>
      <c r="I136" t="s">
        <v>2887</v>
      </c>
      <c r="J136" t="s">
        <v>2887</v>
      </c>
      <c r="K136" t="s">
        <v>2892</v>
      </c>
      <c r="L136" t="s">
        <v>2892</v>
      </c>
      <c r="M136" t="s">
        <v>2887</v>
      </c>
      <c r="N136" t="s">
        <v>2892</v>
      </c>
      <c r="O136" t="s">
        <v>2887</v>
      </c>
      <c r="P136" t="s">
        <v>2893</v>
      </c>
      <c r="Q136" t="s">
        <v>2887</v>
      </c>
      <c r="R136" t="s">
        <v>2894</v>
      </c>
      <c r="S136" t="s">
        <v>2887</v>
      </c>
      <c r="T136" t="s">
        <v>2895</v>
      </c>
      <c r="U136" t="s">
        <v>2887</v>
      </c>
      <c r="V136" t="s">
        <v>2887</v>
      </c>
      <c r="W136" t="s">
        <v>2887</v>
      </c>
      <c r="X136" t="s">
        <v>2896</v>
      </c>
      <c r="Y136" t="s">
        <v>2897</v>
      </c>
      <c r="Z136" t="s">
        <v>2898</v>
      </c>
      <c r="AA136" t="s">
        <v>2899</v>
      </c>
      <c r="AB136" t="s">
        <v>2892</v>
      </c>
      <c r="AC136" t="s">
        <v>2900</v>
      </c>
      <c r="AD136" t="s">
        <v>2887</v>
      </c>
      <c r="AE136" t="s">
        <v>2887</v>
      </c>
      <c r="AF136" t="s">
        <v>2901</v>
      </c>
      <c r="AG136" t="s">
        <v>2902</v>
      </c>
      <c r="AH136" t="s">
        <v>2892</v>
      </c>
      <c r="AI136" t="s">
        <v>2887</v>
      </c>
      <c r="AJ136" t="s">
        <v>2887</v>
      </c>
      <c r="AK136" t="s">
        <v>2887</v>
      </c>
      <c r="AL136" t="s">
        <v>2903</v>
      </c>
      <c r="AM136" t="s">
        <v>2890</v>
      </c>
      <c r="AN136" t="s">
        <v>2904</v>
      </c>
      <c r="AO136" t="s">
        <v>2905</v>
      </c>
      <c r="AP136" t="s">
        <v>2906</v>
      </c>
    </row>
    <row r="137" spans="1:42" x14ac:dyDescent="0.25">
      <c r="A137" t="s">
        <v>2907</v>
      </c>
      <c r="B137" t="s">
        <v>2908</v>
      </c>
      <c r="C137" t="s">
        <v>2907</v>
      </c>
      <c r="D137" t="s">
        <v>2907</v>
      </c>
      <c r="E137" t="s">
        <v>2909</v>
      </c>
      <c r="F137" t="s">
        <v>2907</v>
      </c>
      <c r="G137" t="s">
        <v>2910</v>
      </c>
      <c r="H137" t="s">
        <v>2911</v>
      </c>
      <c r="I137" t="s">
        <v>2907</v>
      </c>
      <c r="J137" t="s">
        <v>2907</v>
      </c>
      <c r="K137" t="s">
        <v>2912</v>
      </c>
      <c r="L137" t="s">
        <v>2912</v>
      </c>
      <c r="M137" t="s">
        <v>2907</v>
      </c>
      <c r="N137" t="s">
        <v>2912</v>
      </c>
      <c r="O137" t="s">
        <v>2907</v>
      </c>
      <c r="P137" t="s">
        <v>2913</v>
      </c>
      <c r="Q137" t="s">
        <v>2907</v>
      </c>
      <c r="R137" t="s">
        <v>2914</v>
      </c>
      <c r="S137" t="s">
        <v>2907</v>
      </c>
      <c r="T137" t="s">
        <v>2915</v>
      </c>
      <c r="U137" t="s">
        <v>2907</v>
      </c>
      <c r="V137" t="s">
        <v>2907</v>
      </c>
      <c r="W137" t="s">
        <v>2907</v>
      </c>
      <c r="X137" t="s">
        <v>2916</v>
      </c>
      <c r="Y137" t="s">
        <v>2917</v>
      </c>
      <c r="Z137" t="s">
        <v>2918</v>
      </c>
      <c r="AA137" t="s">
        <v>2919</v>
      </c>
      <c r="AB137" t="s">
        <v>2912</v>
      </c>
      <c r="AC137" t="s">
        <v>2920</v>
      </c>
      <c r="AD137" t="s">
        <v>2907</v>
      </c>
      <c r="AE137" t="s">
        <v>2907</v>
      </c>
      <c r="AF137" t="s">
        <v>2921</v>
      </c>
      <c r="AG137" t="s">
        <v>2922</v>
      </c>
      <c r="AH137" t="s">
        <v>2912</v>
      </c>
      <c r="AI137" t="s">
        <v>2907</v>
      </c>
      <c r="AJ137" t="s">
        <v>2907</v>
      </c>
      <c r="AK137" t="s">
        <v>2907</v>
      </c>
      <c r="AL137" t="s">
        <v>2923</v>
      </c>
      <c r="AM137" t="s">
        <v>2910</v>
      </c>
      <c r="AN137" t="s">
        <v>2924</v>
      </c>
      <c r="AO137" t="s">
        <v>2925</v>
      </c>
      <c r="AP137" t="s">
        <v>2926</v>
      </c>
    </row>
    <row r="138" spans="1:42" x14ac:dyDescent="0.25">
      <c r="A138" t="s">
        <v>2927</v>
      </c>
      <c r="B138" t="s">
        <v>2928</v>
      </c>
      <c r="C138" t="s">
        <v>2927</v>
      </c>
      <c r="D138" t="s">
        <v>2927</v>
      </c>
      <c r="E138" t="s">
        <v>2929</v>
      </c>
      <c r="F138" t="s">
        <v>2927</v>
      </c>
      <c r="G138" t="s">
        <v>2930</v>
      </c>
      <c r="H138" t="s">
        <v>2931</v>
      </c>
      <c r="I138" t="s">
        <v>2927</v>
      </c>
      <c r="J138" t="s">
        <v>2927</v>
      </c>
      <c r="K138" t="s">
        <v>2932</v>
      </c>
      <c r="L138" t="s">
        <v>2932</v>
      </c>
      <c r="M138" t="s">
        <v>2927</v>
      </c>
      <c r="N138" t="s">
        <v>2932</v>
      </c>
      <c r="O138" t="s">
        <v>2927</v>
      </c>
      <c r="P138" t="s">
        <v>2933</v>
      </c>
      <c r="Q138" t="s">
        <v>2927</v>
      </c>
      <c r="R138" t="s">
        <v>2934</v>
      </c>
      <c r="S138" t="s">
        <v>2927</v>
      </c>
      <c r="T138" t="s">
        <v>2935</v>
      </c>
      <c r="U138" t="s">
        <v>2927</v>
      </c>
      <c r="V138" t="s">
        <v>2927</v>
      </c>
      <c r="W138" t="s">
        <v>2927</v>
      </c>
      <c r="X138" t="s">
        <v>2936</v>
      </c>
      <c r="Y138" t="s">
        <v>2937</v>
      </c>
      <c r="Z138" t="s">
        <v>2938</v>
      </c>
      <c r="AA138" t="s">
        <v>2939</v>
      </c>
      <c r="AB138" t="s">
        <v>2932</v>
      </c>
      <c r="AC138" t="s">
        <v>2940</v>
      </c>
      <c r="AD138" t="s">
        <v>2927</v>
      </c>
      <c r="AE138" t="s">
        <v>2927</v>
      </c>
      <c r="AF138" t="s">
        <v>2941</v>
      </c>
      <c r="AG138" t="s">
        <v>2942</v>
      </c>
      <c r="AH138" t="s">
        <v>2932</v>
      </c>
      <c r="AI138" t="s">
        <v>2927</v>
      </c>
      <c r="AJ138" t="s">
        <v>2927</v>
      </c>
      <c r="AK138" t="s">
        <v>2927</v>
      </c>
      <c r="AL138" t="s">
        <v>2943</v>
      </c>
      <c r="AM138" t="s">
        <v>2930</v>
      </c>
      <c r="AN138" t="s">
        <v>2944</v>
      </c>
      <c r="AO138" t="s">
        <v>2945</v>
      </c>
      <c r="AP138" t="s">
        <v>2946</v>
      </c>
    </row>
    <row r="139" spans="1:42" x14ac:dyDescent="0.25">
      <c r="A139" t="s">
        <v>2947</v>
      </c>
      <c r="B139" t="s">
        <v>2948</v>
      </c>
      <c r="C139" t="s">
        <v>2947</v>
      </c>
      <c r="D139" t="s">
        <v>2947</v>
      </c>
      <c r="E139" t="s">
        <v>2949</v>
      </c>
      <c r="F139" t="s">
        <v>2947</v>
      </c>
      <c r="G139" t="s">
        <v>2950</v>
      </c>
      <c r="H139" t="s">
        <v>2951</v>
      </c>
      <c r="I139" t="s">
        <v>2947</v>
      </c>
      <c r="J139" t="s">
        <v>2947</v>
      </c>
      <c r="K139" t="s">
        <v>2952</v>
      </c>
      <c r="L139" t="s">
        <v>2952</v>
      </c>
      <c r="M139" t="s">
        <v>2947</v>
      </c>
      <c r="N139" t="s">
        <v>2952</v>
      </c>
      <c r="O139" t="s">
        <v>2947</v>
      </c>
      <c r="P139" t="s">
        <v>2953</v>
      </c>
      <c r="Q139" t="s">
        <v>2947</v>
      </c>
      <c r="R139" t="s">
        <v>2954</v>
      </c>
      <c r="S139" t="s">
        <v>2947</v>
      </c>
      <c r="T139" t="s">
        <v>2955</v>
      </c>
      <c r="U139" t="s">
        <v>2947</v>
      </c>
      <c r="V139" t="s">
        <v>2947</v>
      </c>
      <c r="W139" t="s">
        <v>2947</v>
      </c>
      <c r="X139" t="s">
        <v>2956</v>
      </c>
      <c r="Y139" t="s">
        <v>2957</v>
      </c>
      <c r="Z139" t="s">
        <v>2958</v>
      </c>
      <c r="AA139" t="s">
        <v>2959</v>
      </c>
      <c r="AB139" t="s">
        <v>2952</v>
      </c>
      <c r="AC139" t="s">
        <v>2960</v>
      </c>
      <c r="AD139" t="s">
        <v>2947</v>
      </c>
      <c r="AE139" t="s">
        <v>2947</v>
      </c>
      <c r="AF139" t="s">
        <v>2961</v>
      </c>
      <c r="AG139" t="s">
        <v>2962</v>
      </c>
      <c r="AH139" t="s">
        <v>2952</v>
      </c>
      <c r="AI139" t="s">
        <v>2947</v>
      </c>
      <c r="AJ139" t="s">
        <v>2947</v>
      </c>
      <c r="AK139" t="s">
        <v>2947</v>
      </c>
      <c r="AL139" t="s">
        <v>2963</v>
      </c>
      <c r="AM139" t="s">
        <v>2950</v>
      </c>
      <c r="AN139" t="s">
        <v>2964</v>
      </c>
      <c r="AO139" t="s">
        <v>2965</v>
      </c>
      <c r="AP139" t="s">
        <v>2966</v>
      </c>
    </row>
    <row r="140" spans="1:42" x14ac:dyDescent="0.25">
      <c r="A140" t="s">
        <v>2967</v>
      </c>
      <c r="B140" t="s">
        <v>2968</v>
      </c>
      <c r="C140" t="s">
        <v>2967</v>
      </c>
      <c r="D140" t="s">
        <v>2967</v>
      </c>
      <c r="E140" t="s">
        <v>2969</v>
      </c>
      <c r="F140" t="s">
        <v>2967</v>
      </c>
      <c r="G140" t="s">
        <v>2970</v>
      </c>
      <c r="H140" t="s">
        <v>2971</v>
      </c>
      <c r="I140" t="s">
        <v>2967</v>
      </c>
      <c r="J140" t="s">
        <v>2967</v>
      </c>
      <c r="K140" t="s">
        <v>2972</v>
      </c>
      <c r="L140" t="s">
        <v>2972</v>
      </c>
      <c r="M140" t="s">
        <v>2967</v>
      </c>
      <c r="N140" t="s">
        <v>2972</v>
      </c>
      <c r="O140" t="s">
        <v>2967</v>
      </c>
      <c r="P140" t="s">
        <v>2973</v>
      </c>
      <c r="Q140" t="s">
        <v>2967</v>
      </c>
      <c r="R140" t="s">
        <v>2974</v>
      </c>
      <c r="S140" t="s">
        <v>2967</v>
      </c>
      <c r="T140" t="s">
        <v>2975</v>
      </c>
      <c r="U140" t="s">
        <v>2967</v>
      </c>
      <c r="V140" t="s">
        <v>2967</v>
      </c>
      <c r="W140" t="s">
        <v>2967</v>
      </c>
      <c r="X140" t="s">
        <v>2976</v>
      </c>
      <c r="Y140" t="s">
        <v>2977</v>
      </c>
      <c r="Z140" t="s">
        <v>2978</v>
      </c>
      <c r="AA140" t="s">
        <v>2979</v>
      </c>
      <c r="AB140" t="s">
        <v>2972</v>
      </c>
      <c r="AC140" t="s">
        <v>2980</v>
      </c>
      <c r="AD140" t="s">
        <v>2967</v>
      </c>
      <c r="AE140" t="s">
        <v>2967</v>
      </c>
      <c r="AF140" t="s">
        <v>2981</v>
      </c>
      <c r="AG140" t="s">
        <v>2982</v>
      </c>
      <c r="AH140" t="s">
        <v>2972</v>
      </c>
      <c r="AI140" t="s">
        <v>2967</v>
      </c>
      <c r="AJ140" t="s">
        <v>2967</v>
      </c>
      <c r="AK140" t="s">
        <v>2967</v>
      </c>
      <c r="AL140" t="s">
        <v>2983</v>
      </c>
      <c r="AM140" t="s">
        <v>2970</v>
      </c>
      <c r="AN140" t="s">
        <v>2984</v>
      </c>
      <c r="AO140" t="s">
        <v>2985</v>
      </c>
      <c r="AP140" t="s">
        <v>2986</v>
      </c>
    </row>
    <row r="141" spans="1:42" x14ac:dyDescent="0.25">
      <c r="A141" t="s">
        <v>2987</v>
      </c>
      <c r="B141" t="s">
        <v>2988</v>
      </c>
      <c r="C141" t="s">
        <v>2987</v>
      </c>
      <c r="D141" t="s">
        <v>2987</v>
      </c>
      <c r="E141" t="s">
        <v>2989</v>
      </c>
      <c r="F141" t="s">
        <v>2987</v>
      </c>
      <c r="G141" t="s">
        <v>2990</v>
      </c>
      <c r="H141" t="s">
        <v>2991</v>
      </c>
      <c r="I141" t="s">
        <v>2987</v>
      </c>
      <c r="J141" t="s">
        <v>2987</v>
      </c>
      <c r="K141" t="s">
        <v>2992</v>
      </c>
      <c r="L141" t="s">
        <v>2992</v>
      </c>
      <c r="M141" t="s">
        <v>2987</v>
      </c>
      <c r="N141" t="s">
        <v>2992</v>
      </c>
      <c r="O141" t="s">
        <v>2987</v>
      </c>
      <c r="P141" t="s">
        <v>2993</v>
      </c>
      <c r="Q141" t="s">
        <v>2987</v>
      </c>
      <c r="R141" t="s">
        <v>2994</v>
      </c>
      <c r="S141" t="s">
        <v>2987</v>
      </c>
      <c r="T141" t="s">
        <v>2995</v>
      </c>
      <c r="U141" t="s">
        <v>2987</v>
      </c>
      <c r="V141" t="s">
        <v>2987</v>
      </c>
      <c r="W141" t="s">
        <v>2987</v>
      </c>
      <c r="X141" t="s">
        <v>2996</v>
      </c>
      <c r="Y141" t="s">
        <v>2997</v>
      </c>
      <c r="Z141" t="s">
        <v>2998</v>
      </c>
      <c r="AA141" t="s">
        <v>2999</v>
      </c>
      <c r="AB141" t="s">
        <v>2992</v>
      </c>
      <c r="AC141" t="s">
        <v>3000</v>
      </c>
      <c r="AD141" t="s">
        <v>2987</v>
      </c>
      <c r="AE141" t="s">
        <v>2987</v>
      </c>
      <c r="AF141" t="s">
        <v>3001</v>
      </c>
      <c r="AG141" t="s">
        <v>3002</v>
      </c>
      <c r="AH141" t="s">
        <v>2992</v>
      </c>
      <c r="AI141" t="s">
        <v>2987</v>
      </c>
      <c r="AJ141" t="s">
        <v>2987</v>
      </c>
      <c r="AK141" t="s">
        <v>2987</v>
      </c>
      <c r="AL141" t="s">
        <v>3003</v>
      </c>
      <c r="AM141" t="s">
        <v>2990</v>
      </c>
      <c r="AN141" t="s">
        <v>3004</v>
      </c>
      <c r="AO141" t="s">
        <v>3005</v>
      </c>
      <c r="AP141" t="s">
        <v>3006</v>
      </c>
    </row>
    <row r="142" spans="1:42" x14ac:dyDescent="0.25">
      <c r="A142" t="s">
        <v>2977</v>
      </c>
      <c r="B142" t="s">
        <v>3007</v>
      </c>
      <c r="C142" t="s">
        <v>2977</v>
      </c>
      <c r="D142" t="s">
        <v>2977</v>
      </c>
      <c r="E142" t="s">
        <v>3008</v>
      </c>
      <c r="F142" t="s">
        <v>2977</v>
      </c>
      <c r="G142" t="s">
        <v>2982</v>
      </c>
      <c r="H142" t="s">
        <v>3009</v>
      </c>
      <c r="I142" t="s">
        <v>2977</v>
      </c>
      <c r="J142" t="s">
        <v>2977</v>
      </c>
      <c r="K142" t="s">
        <v>2982</v>
      </c>
      <c r="L142" t="s">
        <v>2984</v>
      </c>
      <c r="M142" t="s">
        <v>2972</v>
      </c>
      <c r="N142" t="s">
        <v>2984</v>
      </c>
      <c r="O142" t="s">
        <v>2977</v>
      </c>
      <c r="P142" t="s">
        <v>3010</v>
      </c>
      <c r="Q142" t="s">
        <v>2977</v>
      </c>
      <c r="R142" t="s">
        <v>3011</v>
      </c>
      <c r="S142" t="s">
        <v>2977</v>
      </c>
      <c r="T142" t="s">
        <v>2972</v>
      </c>
      <c r="U142" t="s">
        <v>2977</v>
      </c>
      <c r="V142" t="s">
        <v>2977</v>
      </c>
      <c r="W142" t="s">
        <v>2977</v>
      </c>
      <c r="X142" t="s">
        <v>3012</v>
      </c>
      <c r="Y142" t="s">
        <v>2982</v>
      </c>
      <c r="Z142" t="s">
        <v>3013</v>
      </c>
      <c r="AA142" t="s">
        <v>2984</v>
      </c>
      <c r="AB142" t="s">
        <v>2984</v>
      </c>
      <c r="AC142" t="s">
        <v>3014</v>
      </c>
      <c r="AD142" t="s">
        <v>2977</v>
      </c>
      <c r="AE142" t="s">
        <v>2977</v>
      </c>
      <c r="AF142" t="s">
        <v>2982</v>
      </c>
      <c r="AG142" t="s">
        <v>3015</v>
      </c>
      <c r="AH142" t="s">
        <v>2982</v>
      </c>
      <c r="AI142" t="s">
        <v>2977</v>
      </c>
      <c r="AJ142" t="s">
        <v>2977</v>
      </c>
      <c r="AK142" t="s">
        <v>2977</v>
      </c>
      <c r="AL142" t="s">
        <v>3016</v>
      </c>
      <c r="AM142" t="s">
        <v>3008</v>
      </c>
      <c r="AN142" t="s">
        <v>3017</v>
      </c>
      <c r="AO142" t="s">
        <v>3018</v>
      </c>
      <c r="AP142" t="s">
        <v>3019</v>
      </c>
    </row>
    <row r="143" spans="1:42" x14ac:dyDescent="0.25">
      <c r="A143" t="s">
        <v>2997</v>
      </c>
      <c r="B143" t="s">
        <v>3020</v>
      </c>
      <c r="C143" t="s">
        <v>2997</v>
      </c>
      <c r="D143" t="s">
        <v>2997</v>
      </c>
      <c r="E143" t="s">
        <v>3021</v>
      </c>
      <c r="F143" t="s">
        <v>2997</v>
      </c>
      <c r="G143" t="s">
        <v>3002</v>
      </c>
      <c r="H143" t="s">
        <v>3022</v>
      </c>
      <c r="I143" t="s">
        <v>2997</v>
      </c>
      <c r="J143" t="s">
        <v>2997</v>
      </c>
      <c r="K143" t="s">
        <v>3002</v>
      </c>
      <c r="L143" t="s">
        <v>3004</v>
      </c>
      <c r="M143" t="s">
        <v>2992</v>
      </c>
      <c r="N143" t="s">
        <v>3004</v>
      </c>
      <c r="O143" t="s">
        <v>2997</v>
      </c>
      <c r="P143" t="s">
        <v>3023</v>
      </c>
      <c r="Q143" t="s">
        <v>2997</v>
      </c>
      <c r="R143" t="s">
        <v>3024</v>
      </c>
      <c r="S143" t="s">
        <v>2997</v>
      </c>
      <c r="T143" t="s">
        <v>2992</v>
      </c>
      <c r="U143" t="s">
        <v>2997</v>
      </c>
      <c r="V143" t="s">
        <v>2997</v>
      </c>
      <c r="W143" t="s">
        <v>2997</v>
      </c>
      <c r="X143" t="s">
        <v>3025</v>
      </c>
      <c r="Y143" t="s">
        <v>3002</v>
      </c>
      <c r="Z143" t="s">
        <v>3026</v>
      </c>
      <c r="AA143" t="s">
        <v>3004</v>
      </c>
      <c r="AB143" t="s">
        <v>3004</v>
      </c>
      <c r="AC143" t="s">
        <v>3027</v>
      </c>
      <c r="AD143" t="s">
        <v>2997</v>
      </c>
      <c r="AE143" t="s">
        <v>2997</v>
      </c>
      <c r="AF143" t="s">
        <v>3002</v>
      </c>
      <c r="AG143" t="s">
        <v>3028</v>
      </c>
      <c r="AH143" t="s">
        <v>3002</v>
      </c>
      <c r="AI143" t="s">
        <v>2997</v>
      </c>
      <c r="AJ143" t="s">
        <v>2997</v>
      </c>
      <c r="AK143" t="s">
        <v>2997</v>
      </c>
      <c r="AL143" t="s">
        <v>3029</v>
      </c>
      <c r="AM143" t="s">
        <v>3021</v>
      </c>
      <c r="AN143" t="s">
        <v>3030</v>
      </c>
      <c r="AO143" t="s">
        <v>3031</v>
      </c>
      <c r="AP143" t="s">
        <v>3032</v>
      </c>
    </row>
    <row r="144" spans="1:42" x14ac:dyDescent="0.25">
      <c r="A144" t="s">
        <v>3033</v>
      </c>
      <c r="B144" t="s">
        <v>3034</v>
      </c>
      <c r="C144" t="s">
        <v>3035</v>
      </c>
      <c r="D144" t="s">
        <v>3036</v>
      </c>
      <c r="E144" t="s">
        <v>3037</v>
      </c>
      <c r="F144" t="s">
        <v>3038</v>
      </c>
      <c r="G144" t="s">
        <v>3039</v>
      </c>
      <c r="H144" t="s">
        <v>3040</v>
      </c>
      <c r="I144" t="s">
        <v>3033</v>
      </c>
      <c r="J144" t="s">
        <v>3041</v>
      </c>
      <c r="K144" t="s">
        <v>3042</v>
      </c>
      <c r="L144" t="s">
        <v>3043</v>
      </c>
      <c r="M144" t="s">
        <v>3044</v>
      </c>
      <c r="N144" t="s">
        <v>3045</v>
      </c>
      <c r="O144" t="s">
        <v>3046</v>
      </c>
      <c r="P144" t="s">
        <v>3047</v>
      </c>
      <c r="Q144" t="s">
        <v>3048</v>
      </c>
      <c r="R144" t="s">
        <v>3049</v>
      </c>
      <c r="S144" t="s">
        <v>3050</v>
      </c>
      <c r="T144" t="s">
        <v>3051</v>
      </c>
      <c r="U144" t="s">
        <v>3052</v>
      </c>
      <c r="V144" t="s">
        <v>3053</v>
      </c>
      <c r="W144" t="s">
        <v>3054</v>
      </c>
      <c r="X144" t="s">
        <v>3055</v>
      </c>
      <c r="Y144" t="s">
        <v>3056</v>
      </c>
      <c r="Z144" t="s">
        <v>3057</v>
      </c>
      <c r="AA144" t="s">
        <v>3058</v>
      </c>
      <c r="AB144" t="s">
        <v>3059</v>
      </c>
      <c r="AC144" t="s">
        <v>3060</v>
      </c>
      <c r="AD144" t="s">
        <v>3061</v>
      </c>
      <c r="AE144" t="s">
        <v>3062</v>
      </c>
      <c r="AF144" t="s">
        <v>3063</v>
      </c>
      <c r="AG144" t="s">
        <v>3064</v>
      </c>
      <c r="AH144" t="s">
        <v>3065</v>
      </c>
      <c r="AI144" t="s">
        <v>3066</v>
      </c>
      <c r="AJ144" t="s">
        <v>3067</v>
      </c>
      <c r="AK144" t="s">
        <v>3068</v>
      </c>
      <c r="AL144" t="s">
        <v>3069</v>
      </c>
      <c r="AM144" t="s">
        <v>3070</v>
      </c>
      <c r="AN144" t="s">
        <v>3071</v>
      </c>
      <c r="AO144" t="s">
        <v>3072</v>
      </c>
      <c r="AP144" t="s">
        <v>3073</v>
      </c>
    </row>
    <row r="145" spans="1:42" x14ac:dyDescent="0.25">
      <c r="A145" s="1"/>
    </row>
    <row r="146" spans="1:42" x14ac:dyDescent="0.25">
      <c r="A146" s="1"/>
    </row>
    <row r="147" spans="1:42" x14ac:dyDescent="0.25">
      <c r="A147" s="1"/>
    </row>
    <row r="148" spans="1:42" x14ac:dyDescent="0.25">
      <c r="A148" s="1"/>
    </row>
    <row r="149" spans="1:42" x14ac:dyDescent="0.25">
      <c r="A149" s="1"/>
    </row>
    <row r="150" spans="1:42" x14ac:dyDescent="0.25">
      <c r="A150" s="1"/>
    </row>
    <row r="151" spans="1:42" x14ac:dyDescent="0.25">
      <c r="A151" s="1"/>
    </row>
    <row r="152" spans="1:42" x14ac:dyDescent="0.25">
      <c r="A152" s="1"/>
    </row>
    <row r="153" spans="1:42" x14ac:dyDescent="0.25">
      <c r="A153" s="1"/>
    </row>
    <row r="154" spans="1:42" x14ac:dyDescent="0.25">
      <c r="A154" s="1"/>
    </row>
    <row r="155" spans="1:42" x14ac:dyDescent="0.25">
      <c r="A155" s="1"/>
    </row>
    <row r="156" spans="1:42" x14ac:dyDescent="0.25">
      <c r="A156" s="1"/>
    </row>
    <row r="157" spans="1:42" x14ac:dyDescent="0.25">
      <c r="A157" t="s">
        <v>3074</v>
      </c>
      <c r="B157" t="s">
        <v>3075</v>
      </c>
      <c r="C157" t="s">
        <v>3076</v>
      </c>
      <c r="D157" t="s">
        <v>3077</v>
      </c>
      <c r="E157" t="s">
        <v>3078</v>
      </c>
      <c r="F157" t="s">
        <v>3079</v>
      </c>
      <c r="G157" t="s">
        <v>3080</v>
      </c>
      <c r="H157" t="s">
        <v>3081</v>
      </c>
      <c r="I157" t="s">
        <v>3082</v>
      </c>
      <c r="J157" t="s">
        <v>3083</v>
      </c>
      <c r="K157" t="s">
        <v>3084</v>
      </c>
      <c r="L157" t="s">
        <v>3085</v>
      </c>
      <c r="M157" t="s">
        <v>3086</v>
      </c>
      <c r="N157" t="s">
        <v>3087</v>
      </c>
      <c r="O157" t="s">
        <v>3087</v>
      </c>
      <c r="P157" t="s">
        <v>3088</v>
      </c>
      <c r="Q157" t="s">
        <v>3089</v>
      </c>
      <c r="R157" t="s">
        <v>3090</v>
      </c>
      <c r="S157" t="s">
        <v>3091</v>
      </c>
      <c r="T157" t="s">
        <v>3092</v>
      </c>
      <c r="U157" t="s">
        <v>3093</v>
      </c>
      <c r="V157" t="s">
        <v>3094</v>
      </c>
      <c r="W157" t="s">
        <v>3095</v>
      </c>
      <c r="X157" t="s">
        <v>3096</v>
      </c>
      <c r="Y157" t="s">
        <v>3097</v>
      </c>
      <c r="Z157" t="s">
        <v>3098</v>
      </c>
      <c r="AA157" t="s">
        <v>3099</v>
      </c>
      <c r="AB157" t="s">
        <v>3100</v>
      </c>
      <c r="AC157" t="s">
        <v>3101</v>
      </c>
      <c r="AD157" t="s">
        <v>3102</v>
      </c>
      <c r="AE157" t="s">
        <v>3103</v>
      </c>
      <c r="AF157" t="s">
        <v>3104</v>
      </c>
      <c r="AG157" t="s">
        <v>3105</v>
      </c>
      <c r="AH157" t="s">
        <v>3106</v>
      </c>
      <c r="AI157" t="s">
        <v>3107</v>
      </c>
      <c r="AJ157" t="s">
        <v>3108</v>
      </c>
      <c r="AK157" t="s">
        <v>3109</v>
      </c>
      <c r="AL157" t="s">
        <v>3110</v>
      </c>
      <c r="AM157" t="s">
        <v>3111</v>
      </c>
      <c r="AN157" t="s">
        <v>3112</v>
      </c>
      <c r="AO157" t="s">
        <v>3113</v>
      </c>
      <c r="AP157" t="s">
        <v>3114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A72"/>
  <sheetViews>
    <sheetView showGridLines="0" workbookViewId="0">
      <selection activeCell="C8" sqref="C8"/>
    </sheetView>
  </sheetViews>
  <sheetFormatPr defaultColWidth="9.140625" defaultRowHeight="15" x14ac:dyDescent="0.25"/>
  <cols>
    <col min="1" max="1" width="1.140625" style="10" customWidth="1"/>
    <col min="2" max="2" width="18.85546875" style="10" bestFit="1" customWidth="1"/>
    <col min="3" max="3" width="20.28515625" style="10" customWidth="1"/>
    <col min="4" max="4" width="9.140625" style="10"/>
    <col min="5" max="5" width="1.140625" style="10" customWidth="1"/>
    <col min="6" max="6" width="9.140625" style="10"/>
    <col min="7" max="7" width="27.5703125" style="10" bestFit="1" customWidth="1"/>
    <col min="8" max="8" width="2.7109375" style="10" customWidth="1"/>
    <col min="9" max="9" width="1.140625" style="10" customWidth="1"/>
    <col min="10" max="16384" width="9.140625" style="10"/>
  </cols>
  <sheetData>
    <row r="1" spans="2:27" ht="7.5" customHeight="1" x14ac:dyDescent="0.25"/>
    <row r="2" spans="2:27" ht="16.5" thickBot="1" x14ac:dyDescent="0.3">
      <c r="B2" s="39" t="s">
        <v>3115</v>
      </c>
      <c r="C2" s="40"/>
      <c r="D2" s="41"/>
      <c r="F2" s="39" t="s">
        <v>3116</v>
      </c>
      <c r="G2" s="40"/>
      <c r="H2" s="41"/>
    </row>
    <row r="3" spans="2:27" ht="9" customHeight="1" x14ac:dyDescent="0.25">
      <c r="B3" s="42"/>
      <c r="C3" s="43"/>
      <c r="D3" s="44"/>
      <c r="F3" s="42"/>
      <c r="G3" s="43"/>
      <c r="H3" s="44"/>
    </row>
    <row r="4" spans="2:27" x14ac:dyDescent="0.25">
      <c r="B4" s="54" t="s">
        <v>3117</v>
      </c>
      <c r="C4" s="60" t="s">
        <v>0</v>
      </c>
      <c r="D4" s="44"/>
      <c r="F4" s="42"/>
      <c r="G4" s="45"/>
      <c r="H4" s="44"/>
    </row>
    <row r="5" spans="2:27" x14ac:dyDescent="0.25">
      <c r="B5" s="42"/>
      <c r="C5" s="43"/>
      <c r="D5" s="44"/>
      <c r="F5" s="46" t="s">
        <v>3118</v>
      </c>
      <c r="G5" s="47" t="s">
        <v>3119</v>
      </c>
      <c r="H5" s="44"/>
    </row>
    <row r="6" spans="2:27" x14ac:dyDescent="0.25">
      <c r="B6" s="54" t="s">
        <v>3120</v>
      </c>
      <c r="C6" s="60" t="s">
        <v>3121</v>
      </c>
      <c r="D6" s="44"/>
      <c r="F6" s="46" t="s">
        <v>3122</v>
      </c>
      <c r="G6" s="48" t="s">
        <v>3123</v>
      </c>
      <c r="H6" s="44"/>
    </row>
    <row r="7" spans="2:27" x14ac:dyDescent="0.25">
      <c r="B7" s="54"/>
      <c r="C7" s="43"/>
      <c r="D7" s="44"/>
      <c r="F7" s="46" t="s">
        <v>3124</v>
      </c>
      <c r="G7" s="48" t="s">
        <v>3125</v>
      </c>
      <c r="H7" s="44"/>
      <c r="AA7" s="10" t="e" cm="1">
        <f t="array" ref="AA7">IF(OR(E7=Settings!I15my_team,H7=my_team),1,0)</f>
        <v>#NAME?</v>
      </c>
    </row>
    <row r="8" spans="2:27" ht="15" customHeight="1" x14ac:dyDescent="0.25">
      <c r="B8" s="54" t="s">
        <v>3126</v>
      </c>
      <c r="C8" s="60" t="s">
        <v>3149</v>
      </c>
      <c r="D8" s="44"/>
      <c r="F8" s="46" t="s">
        <v>3128</v>
      </c>
      <c r="G8" s="48" t="s">
        <v>3129</v>
      </c>
      <c r="H8" s="44"/>
    </row>
    <row r="9" spans="2:27" x14ac:dyDescent="0.25">
      <c r="B9" s="54"/>
      <c r="C9" s="43"/>
      <c r="D9" s="44"/>
      <c r="F9" s="46" t="s">
        <v>3130</v>
      </c>
      <c r="G9" s="49" t="s">
        <v>3131</v>
      </c>
      <c r="H9" s="44"/>
    </row>
    <row r="10" spans="2:27" ht="15" customHeight="1" x14ac:dyDescent="0.25">
      <c r="B10" s="54" t="s">
        <v>3132</v>
      </c>
      <c r="C10" s="60" t="s">
        <v>3133</v>
      </c>
      <c r="D10" s="44"/>
      <c r="F10" s="42"/>
      <c r="G10" s="50"/>
      <c r="H10" s="44"/>
    </row>
    <row r="11" spans="2:27" ht="9" customHeight="1" x14ac:dyDescent="0.25">
      <c r="B11" s="54"/>
      <c r="C11" s="43"/>
      <c r="D11" s="44"/>
      <c r="F11" s="51"/>
      <c r="G11" s="52"/>
      <c r="H11" s="53"/>
    </row>
    <row r="12" spans="2:27" ht="15" customHeight="1" x14ac:dyDescent="0.25">
      <c r="B12" s="54" t="s">
        <v>3134</v>
      </c>
      <c r="C12" s="60" t="s">
        <v>1148</v>
      </c>
      <c r="D12" s="44"/>
      <c r="F12" s="118"/>
      <c r="G12" s="118"/>
      <c r="H12" s="118"/>
      <c r="I12" s="118"/>
      <c r="J12" s="118"/>
      <c r="K12" s="76"/>
      <c r="L12" s="76"/>
      <c r="M12" s="76"/>
      <c r="N12" s="76"/>
      <c r="O12" s="76"/>
      <c r="P12" s="76"/>
      <c r="Q12" s="76"/>
    </row>
    <row r="13" spans="2:27" ht="9" customHeight="1" x14ac:dyDescent="0.25">
      <c r="B13" s="54"/>
      <c r="C13" s="43"/>
      <c r="D13" s="44"/>
      <c r="F13" s="118"/>
      <c r="G13" s="118"/>
      <c r="H13" s="118"/>
      <c r="I13" s="118"/>
      <c r="J13" s="118"/>
      <c r="K13" s="76"/>
      <c r="L13" s="76"/>
      <c r="M13" s="76"/>
      <c r="N13" s="76"/>
      <c r="O13" s="76"/>
      <c r="P13" s="76"/>
      <c r="Q13" s="76"/>
    </row>
    <row r="14" spans="2:27" ht="15" customHeight="1" x14ac:dyDescent="0.25">
      <c r="B14" s="54" t="s">
        <v>3135</v>
      </c>
      <c r="C14" s="60" t="s">
        <v>3121</v>
      </c>
      <c r="D14" s="44"/>
      <c r="F14" s="118"/>
      <c r="G14" s="118"/>
      <c r="H14" s="118"/>
      <c r="I14" s="118"/>
      <c r="J14" s="118"/>
      <c r="K14" s="76"/>
      <c r="L14" s="76"/>
      <c r="M14" s="76"/>
      <c r="N14" s="76"/>
      <c r="O14" s="76"/>
      <c r="P14" s="76"/>
      <c r="Q14" s="76"/>
    </row>
    <row r="15" spans="2:27" ht="9" customHeight="1" x14ac:dyDescent="0.25">
      <c r="B15" s="51"/>
      <c r="C15" s="52"/>
      <c r="D15" s="53"/>
      <c r="F15" s="118" t="s">
        <v>3136</v>
      </c>
      <c r="G15" s="118">
        <f>IF(ISERROR(MATCH(C4,lang_list,0)),1,MATCH(C4,lang_list,0))</f>
        <v>1</v>
      </c>
      <c r="H15" s="118"/>
      <c r="I15" s="118" t="str">
        <f>IFERROR(VLOOKUP(C12,T,lang,FALSE),"")</f>
        <v>England</v>
      </c>
      <c r="J15" s="118"/>
      <c r="K15" s="76"/>
      <c r="L15" s="76"/>
      <c r="M15" s="76"/>
      <c r="N15" s="76"/>
      <c r="O15" s="76"/>
      <c r="P15" s="76"/>
      <c r="Q15" s="76"/>
    </row>
    <row r="16" spans="2:27" x14ac:dyDescent="0.25">
      <c r="F16" s="118" t="s">
        <v>3137</v>
      </c>
      <c r="G16" s="118">
        <f>TIME(VLOOKUP(C8,F18:G42,2,FALSE),VLOOKUP(C10,F44:G47,2,FALSE),0)+IF(C6="Yes",TIME(1,0,0),0)</f>
        <v>0.5</v>
      </c>
      <c r="H16" s="118"/>
      <c r="I16" s="118"/>
      <c r="J16" s="118"/>
      <c r="K16" s="76"/>
      <c r="L16" s="76"/>
      <c r="M16" s="76"/>
      <c r="N16" s="76"/>
      <c r="O16" s="76"/>
      <c r="P16" s="76"/>
      <c r="Q16" s="76"/>
    </row>
    <row r="17" spans="2:17" x14ac:dyDescent="0.25">
      <c r="B17" s="55"/>
      <c r="C17" s="56"/>
      <c r="D17" s="57"/>
      <c r="F17" s="118"/>
      <c r="G17" s="118"/>
      <c r="H17" s="118"/>
      <c r="I17" s="118" t="s">
        <v>2426</v>
      </c>
      <c r="J17" s="118"/>
      <c r="K17" s="76"/>
      <c r="L17" s="76"/>
      <c r="M17" s="76"/>
      <c r="N17" s="76"/>
      <c r="O17" s="76"/>
      <c r="P17" s="76"/>
      <c r="Q17" s="76"/>
    </row>
    <row r="18" spans="2:17" ht="15.75" x14ac:dyDescent="0.25">
      <c r="B18" s="42"/>
      <c r="C18" s="58" t="s">
        <v>3131</v>
      </c>
      <c r="D18" s="44"/>
      <c r="F18" s="118" t="s">
        <v>3138</v>
      </c>
      <c r="G18" s="118">
        <v>0</v>
      </c>
      <c r="H18" s="118"/>
      <c r="I18" s="118" t="s">
        <v>1264</v>
      </c>
      <c r="J18" s="118"/>
      <c r="K18" s="76"/>
      <c r="L18" s="76"/>
      <c r="M18" s="76"/>
      <c r="N18" s="76"/>
      <c r="O18" s="76"/>
      <c r="P18" s="76"/>
      <c r="Q18" s="76"/>
    </row>
    <row r="19" spans="2:17" x14ac:dyDescent="0.25">
      <c r="B19" s="59" t="str">
        <f>VLOOKUP("France",T,lang,FALSE)</f>
        <v>France</v>
      </c>
      <c r="C19" s="65">
        <v>1877.32</v>
      </c>
      <c r="D19" s="44"/>
      <c r="F19" s="118" t="s">
        <v>3139</v>
      </c>
      <c r="G19" s="118">
        <v>1</v>
      </c>
      <c r="H19" s="118"/>
      <c r="I19" s="118" t="s">
        <v>1419</v>
      </c>
      <c r="J19" s="118"/>
      <c r="K19" s="76"/>
      <c r="L19" s="76"/>
      <c r="M19" s="76"/>
      <c r="N19" s="76"/>
      <c r="O19" s="76"/>
      <c r="P19" s="76"/>
      <c r="Q19" s="76"/>
    </row>
    <row r="20" spans="2:17" x14ac:dyDescent="0.25">
      <c r="B20" s="59" t="str">
        <f>VLOOKUP("Spain",T,lang,FALSE)</f>
        <v>Spain</v>
      </c>
      <c r="C20" s="66">
        <v>1876.4</v>
      </c>
      <c r="D20" s="44"/>
      <c r="F20" s="118" t="s">
        <v>3140</v>
      </c>
      <c r="G20" s="118">
        <v>2</v>
      </c>
      <c r="H20" s="118"/>
      <c r="I20" s="118" t="s">
        <v>2458</v>
      </c>
      <c r="J20" s="118"/>
      <c r="K20" s="76"/>
      <c r="L20" s="76"/>
      <c r="M20" s="76"/>
      <c r="N20" s="76"/>
      <c r="O20" s="76"/>
      <c r="P20" s="76"/>
      <c r="Q20" s="76"/>
    </row>
    <row r="21" spans="2:17" x14ac:dyDescent="0.25">
      <c r="B21" s="59" t="str">
        <f>VLOOKUP("Argentina",T,lang,FALSE)</f>
        <v>Argentina</v>
      </c>
      <c r="C21" s="66">
        <v>1874.82</v>
      </c>
      <c r="D21" s="44"/>
      <c r="F21" s="118" t="s">
        <v>3141</v>
      </c>
      <c r="G21" s="118">
        <v>3</v>
      </c>
      <c r="H21" s="118"/>
      <c r="I21" s="118" t="s">
        <v>1633</v>
      </c>
      <c r="J21" s="118"/>
      <c r="K21" s="76"/>
      <c r="L21" s="76"/>
      <c r="M21" s="76"/>
      <c r="N21" s="76"/>
      <c r="O21" s="76"/>
      <c r="P21" s="76"/>
      <c r="Q21" s="76"/>
    </row>
    <row r="22" spans="2:17" x14ac:dyDescent="0.25">
      <c r="B22" s="59" t="str">
        <f>VLOOKUP("England",T,lang,FALSE)</f>
        <v>England</v>
      </c>
      <c r="C22" s="66">
        <v>1825.97</v>
      </c>
      <c r="D22" s="44"/>
      <c r="F22" s="118" t="s">
        <v>3142</v>
      </c>
      <c r="G22" s="118">
        <v>4</v>
      </c>
      <c r="H22" s="118"/>
      <c r="I22" s="118" t="s">
        <v>1995</v>
      </c>
      <c r="J22" s="118"/>
      <c r="K22" s="76"/>
      <c r="L22" s="76"/>
      <c r="M22" s="76"/>
      <c r="N22" s="76"/>
      <c r="O22" s="76"/>
      <c r="P22" s="76"/>
      <c r="Q22" s="76"/>
    </row>
    <row r="23" spans="2:17" x14ac:dyDescent="0.25">
      <c r="B23" s="59" t="str">
        <f>VLOOKUP("Portugal",T,lang,FALSE)</f>
        <v>Portugal</v>
      </c>
      <c r="C23" s="66">
        <v>1763.83</v>
      </c>
      <c r="D23" s="44"/>
      <c r="F23" s="118" t="s">
        <v>3143</v>
      </c>
      <c r="G23" s="118">
        <v>5</v>
      </c>
      <c r="H23" s="118"/>
      <c r="I23" s="118" t="s">
        <v>1739</v>
      </c>
      <c r="J23" s="118"/>
      <c r="K23" s="76"/>
      <c r="L23" s="76"/>
      <c r="M23" s="76"/>
      <c r="N23" s="76"/>
      <c r="O23" s="76"/>
      <c r="P23" s="76"/>
      <c r="Q23" s="76"/>
    </row>
    <row r="24" spans="2:17" x14ac:dyDescent="0.25">
      <c r="B24" s="59" t="str">
        <f>VLOOKUP("Brazil",T,lang,FALSE)</f>
        <v>Brazil</v>
      </c>
      <c r="C24" s="66">
        <v>1761.16</v>
      </c>
      <c r="D24" s="44"/>
      <c r="F24" s="118" t="s">
        <v>3144</v>
      </c>
      <c r="G24" s="118">
        <v>6</v>
      </c>
      <c r="H24" s="118"/>
      <c r="I24" s="118" t="s">
        <v>1662</v>
      </c>
      <c r="J24" s="118"/>
      <c r="K24" s="76"/>
      <c r="L24" s="76"/>
      <c r="M24" s="76"/>
      <c r="N24" s="76"/>
      <c r="O24" s="76"/>
      <c r="P24" s="76"/>
      <c r="Q24" s="76"/>
    </row>
    <row r="25" spans="2:17" x14ac:dyDescent="0.25">
      <c r="B25" s="59" t="str">
        <f>VLOOKUP("Netherlands",T,lang,FALSE)</f>
        <v>Netherlands</v>
      </c>
      <c r="C25" s="66">
        <v>1757.87</v>
      </c>
      <c r="D25" s="44"/>
      <c r="F25" s="118" t="s">
        <v>3145</v>
      </c>
      <c r="G25" s="118">
        <v>7</v>
      </c>
      <c r="H25" s="118"/>
      <c r="I25" s="118" t="s">
        <v>2340</v>
      </c>
      <c r="J25" s="118"/>
      <c r="K25" s="76"/>
      <c r="L25" s="76"/>
      <c r="M25" s="76"/>
      <c r="N25" s="76"/>
      <c r="O25" s="76"/>
      <c r="P25" s="76"/>
      <c r="Q25" s="76"/>
    </row>
    <row r="26" spans="2:17" x14ac:dyDescent="0.25">
      <c r="B26" s="59" t="str">
        <f>VLOOKUP("Morocco",T,lang,FALSE)</f>
        <v>Morocco</v>
      </c>
      <c r="C26" s="66">
        <v>1755.87</v>
      </c>
      <c r="D26" s="44"/>
      <c r="F26" s="118" t="s">
        <v>3146</v>
      </c>
      <c r="G26" s="118">
        <v>8</v>
      </c>
      <c r="H26" s="118"/>
      <c r="I26" s="118" t="s">
        <v>2573</v>
      </c>
      <c r="J26" s="118"/>
      <c r="K26" s="76"/>
      <c r="L26" s="76"/>
      <c r="M26" s="76"/>
      <c r="N26" s="76"/>
      <c r="O26" s="76"/>
      <c r="P26" s="76"/>
      <c r="Q26" s="76"/>
    </row>
    <row r="27" spans="2:17" x14ac:dyDescent="0.25">
      <c r="B27" s="59" t="str">
        <f>VLOOKUP("Belgium",T,lang,FALSE)</f>
        <v>Belgium</v>
      </c>
      <c r="C27" s="66">
        <v>1734.71</v>
      </c>
      <c r="D27" s="44"/>
      <c r="F27" s="118" t="s">
        <v>3147</v>
      </c>
      <c r="G27" s="118">
        <v>9</v>
      </c>
      <c r="H27" s="118"/>
      <c r="I27" s="118" t="s">
        <v>1703</v>
      </c>
      <c r="J27" s="118"/>
      <c r="K27" s="76"/>
      <c r="L27" s="76"/>
      <c r="M27" s="76"/>
      <c r="N27" s="76"/>
      <c r="O27" s="76"/>
      <c r="P27" s="76"/>
      <c r="Q27" s="76"/>
    </row>
    <row r="28" spans="2:17" x14ac:dyDescent="0.25">
      <c r="B28" s="59" t="str">
        <f>VLOOKUP("Germany",T,lang,FALSE)</f>
        <v>Germany</v>
      </c>
      <c r="C28" s="66">
        <v>1730.37</v>
      </c>
      <c r="D28" s="44"/>
      <c r="F28" s="118" t="s">
        <v>3148</v>
      </c>
      <c r="G28" s="118">
        <v>10</v>
      </c>
      <c r="H28" s="118"/>
      <c r="I28" s="118" t="s">
        <v>2183</v>
      </c>
      <c r="J28" s="118"/>
      <c r="K28" s="76"/>
      <c r="L28" s="76"/>
      <c r="M28" s="76"/>
      <c r="N28" s="76"/>
      <c r="O28" s="76"/>
      <c r="P28" s="76"/>
      <c r="Q28" s="76"/>
    </row>
    <row r="29" spans="2:17" x14ac:dyDescent="0.25">
      <c r="B29" s="59" t="str">
        <f>VLOOKUP("Croatia",T,lang,FALSE)</f>
        <v>Croatia</v>
      </c>
      <c r="C29" s="66">
        <v>1717.07</v>
      </c>
      <c r="D29" s="44"/>
      <c r="F29" s="118" t="s">
        <v>3127</v>
      </c>
      <c r="G29" s="118">
        <v>11</v>
      </c>
      <c r="H29" s="118"/>
      <c r="I29" s="118" t="s">
        <v>2033</v>
      </c>
      <c r="J29" s="118"/>
      <c r="K29" s="76"/>
      <c r="L29" s="76"/>
      <c r="M29" s="76"/>
      <c r="N29" s="76"/>
      <c r="O29" s="76"/>
      <c r="P29" s="76"/>
      <c r="Q29" s="76"/>
    </row>
    <row r="30" spans="2:17" x14ac:dyDescent="0.25">
      <c r="B30" s="59" t="str">
        <f>VLOOKUP("Colombia",T,lang,FALSE)</f>
        <v>Colombia</v>
      </c>
      <c r="C30" s="66">
        <v>1693.09</v>
      </c>
      <c r="D30" s="44"/>
      <c r="F30" s="118" t="s">
        <v>3149</v>
      </c>
      <c r="G30" s="118">
        <v>12</v>
      </c>
      <c r="H30" s="118"/>
      <c r="I30" s="118" t="s">
        <v>2524</v>
      </c>
      <c r="J30" s="118"/>
      <c r="K30" s="76"/>
      <c r="L30" s="76"/>
      <c r="M30" s="76"/>
      <c r="N30" s="76"/>
      <c r="O30" s="76"/>
      <c r="P30" s="76"/>
      <c r="Q30" s="76"/>
    </row>
    <row r="31" spans="2:17" x14ac:dyDescent="0.25">
      <c r="B31" s="59" t="str">
        <f>VLOOKUP("Senegal",T,lang,FALSE)</f>
        <v>Senegal</v>
      </c>
      <c r="C31" s="66">
        <v>1688.99</v>
      </c>
      <c r="D31" s="44"/>
      <c r="F31" s="118" t="s">
        <v>3150</v>
      </c>
      <c r="G31" s="118">
        <v>13</v>
      </c>
      <c r="H31" s="118"/>
      <c r="I31" s="118" t="s">
        <v>1093</v>
      </c>
      <c r="J31" s="118"/>
      <c r="K31" s="76"/>
      <c r="L31" s="76"/>
      <c r="M31" s="76"/>
      <c r="N31" s="76"/>
      <c r="O31" s="76"/>
      <c r="P31" s="76"/>
      <c r="Q31" s="76"/>
    </row>
    <row r="32" spans="2:17" x14ac:dyDescent="0.25">
      <c r="B32" s="59" t="str">
        <f>VLOOKUP("Mexico",T,lang,FALSE)</f>
        <v>Mexico</v>
      </c>
      <c r="C32" s="66">
        <v>1681.03</v>
      </c>
      <c r="D32" s="44"/>
      <c r="F32" s="118" t="s">
        <v>3151</v>
      </c>
      <c r="G32" s="118">
        <v>14</v>
      </c>
      <c r="H32" s="118"/>
      <c r="I32" s="118" t="s">
        <v>2274</v>
      </c>
      <c r="J32" s="118"/>
      <c r="K32" s="76"/>
      <c r="L32" s="76"/>
      <c r="M32" s="76"/>
      <c r="N32" s="76"/>
      <c r="O32" s="76"/>
      <c r="P32" s="76"/>
      <c r="Q32" s="76"/>
    </row>
    <row r="33" spans="2:17" x14ac:dyDescent="0.25">
      <c r="B33" s="59" t="str">
        <f>VLOOKUP("United States",T,lang,FALSE)</f>
        <v>United States</v>
      </c>
      <c r="C33" s="66">
        <v>1673.13</v>
      </c>
      <c r="D33" s="44"/>
      <c r="F33" s="118" t="s">
        <v>3152</v>
      </c>
      <c r="G33" s="118">
        <v>15</v>
      </c>
      <c r="H33" s="118"/>
      <c r="I33" s="118" t="s">
        <v>1148</v>
      </c>
      <c r="J33" s="118"/>
      <c r="K33" s="76"/>
      <c r="L33" s="76"/>
      <c r="M33" s="76"/>
      <c r="N33" s="76"/>
      <c r="O33" s="76"/>
      <c r="P33" s="76"/>
      <c r="Q33" s="76"/>
    </row>
    <row r="34" spans="2:17" x14ac:dyDescent="0.25">
      <c r="B34" s="59" t="str">
        <f>VLOOKUP("Uruguay",T,lang,FALSE)</f>
        <v>Uruguay</v>
      </c>
      <c r="C34" s="66">
        <v>1673.07</v>
      </c>
      <c r="D34" s="44"/>
      <c r="F34" s="118" t="s">
        <v>3153</v>
      </c>
      <c r="G34" s="118">
        <v>16</v>
      </c>
      <c r="H34" s="118"/>
      <c r="I34" s="118" t="s">
        <v>1384</v>
      </c>
      <c r="J34" s="118"/>
      <c r="K34" s="76"/>
      <c r="L34" s="76"/>
      <c r="M34" s="76"/>
      <c r="N34" s="76"/>
      <c r="O34" s="76"/>
      <c r="P34" s="76"/>
      <c r="Q34" s="76"/>
    </row>
    <row r="35" spans="2:17" x14ac:dyDescent="0.25">
      <c r="B35" s="59" t="str">
        <f>VLOOKUP("Japan",T,lang,FALSE)</f>
        <v>Japan</v>
      </c>
      <c r="C35" s="66">
        <v>1660.43</v>
      </c>
      <c r="D35" s="44"/>
      <c r="F35" s="118" t="s">
        <v>3154</v>
      </c>
      <c r="G35" s="118">
        <v>17</v>
      </c>
      <c r="H35" s="118"/>
      <c r="I35" s="118" t="s">
        <v>1565</v>
      </c>
      <c r="J35" s="118"/>
      <c r="K35" s="76"/>
      <c r="L35" s="76"/>
      <c r="M35" s="76"/>
      <c r="N35" s="76"/>
      <c r="O35" s="76"/>
      <c r="P35" s="76"/>
      <c r="Q35" s="76"/>
    </row>
    <row r="36" spans="2:17" x14ac:dyDescent="0.25">
      <c r="B36" s="59" t="str">
        <f>VLOOKUP("Switzerland",T,lang,FALSE)</f>
        <v>Switzerland</v>
      </c>
      <c r="C36" s="66">
        <v>1649.4</v>
      </c>
      <c r="D36" s="44"/>
      <c r="F36" s="118" t="s">
        <v>3155</v>
      </c>
      <c r="G36" s="118">
        <v>18</v>
      </c>
      <c r="H36" s="118"/>
      <c r="I36" s="118" t="s">
        <v>1883</v>
      </c>
      <c r="J36" s="118"/>
      <c r="K36" s="76"/>
      <c r="L36" s="76"/>
      <c r="M36" s="76"/>
      <c r="N36" s="76"/>
      <c r="O36" s="76"/>
      <c r="P36" s="76"/>
      <c r="Q36" s="76"/>
    </row>
    <row r="37" spans="2:17" x14ac:dyDescent="0.25">
      <c r="B37" s="59" t="str">
        <f>VLOOKUP("Iran",T,lang,FALSE)</f>
        <v>Iran</v>
      </c>
      <c r="C37" s="66">
        <v>1615.3</v>
      </c>
      <c r="D37" s="44"/>
      <c r="F37" s="118" t="s">
        <v>3156</v>
      </c>
      <c r="G37" s="118">
        <v>19</v>
      </c>
      <c r="H37" s="118"/>
      <c r="I37" s="118" t="s">
        <v>2072</v>
      </c>
      <c r="J37" s="118"/>
      <c r="K37" s="76"/>
      <c r="L37" s="76"/>
      <c r="M37" s="76"/>
      <c r="N37" s="76"/>
      <c r="O37" s="76"/>
      <c r="P37" s="76"/>
      <c r="Q37" s="76"/>
    </row>
    <row r="38" spans="2:17" x14ac:dyDescent="0.25">
      <c r="B38" s="59" t="str">
        <f>VLOOKUP("Turkey",T,lang,FALSE)</f>
        <v>Turkey</v>
      </c>
      <c r="C38" s="66">
        <v>1599.04</v>
      </c>
      <c r="D38" s="44"/>
      <c r="F38" s="118" t="s">
        <v>3157</v>
      </c>
      <c r="G38" s="118">
        <v>20</v>
      </c>
      <c r="H38" s="118"/>
      <c r="I38" s="118" t="s">
        <v>1180</v>
      </c>
      <c r="J38" s="118"/>
      <c r="K38" s="76"/>
      <c r="L38" s="76"/>
      <c r="M38" s="76"/>
      <c r="N38" s="76"/>
      <c r="O38" s="76"/>
      <c r="P38" s="76"/>
      <c r="Q38" s="76"/>
    </row>
    <row r="39" spans="2:17" x14ac:dyDescent="0.25">
      <c r="B39" s="59" t="str">
        <f>VLOOKUP("Ecuador",T,lang,FALSE)</f>
        <v>Ecuador</v>
      </c>
      <c r="C39" s="66">
        <v>1594.78</v>
      </c>
      <c r="D39" s="44"/>
      <c r="F39" s="118" t="s">
        <v>3158</v>
      </c>
      <c r="G39" s="118">
        <v>21</v>
      </c>
      <c r="H39" s="118"/>
      <c r="I39" s="118" t="s">
        <v>2375</v>
      </c>
      <c r="J39" s="118"/>
      <c r="K39" s="76"/>
      <c r="L39" s="76"/>
      <c r="M39" s="76"/>
      <c r="N39" s="76"/>
      <c r="O39" s="76"/>
      <c r="P39" s="76"/>
      <c r="Q39" s="76"/>
    </row>
    <row r="40" spans="2:17" x14ac:dyDescent="0.25">
      <c r="B40" s="59" t="str">
        <f>VLOOKUP("Austria",T,lang,FALSE)</f>
        <v>Austria</v>
      </c>
      <c r="C40" s="66">
        <v>1593.45</v>
      </c>
      <c r="D40" s="44"/>
      <c r="F40" s="118" t="s">
        <v>3159</v>
      </c>
      <c r="G40" s="118">
        <v>22</v>
      </c>
      <c r="H40" s="118"/>
      <c r="I40" s="118" t="s">
        <v>2201</v>
      </c>
      <c r="J40" s="118"/>
      <c r="K40" s="76"/>
      <c r="L40" s="76"/>
      <c r="M40" s="76"/>
      <c r="N40" s="76"/>
      <c r="O40" s="76"/>
      <c r="P40" s="76"/>
      <c r="Q40" s="76"/>
    </row>
    <row r="41" spans="2:17" x14ac:dyDescent="0.25">
      <c r="B41" s="59" t="str">
        <f>VLOOKUP("Korea Republic",T,lang,FALSE)</f>
        <v>Korea Republic</v>
      </c>
      <c r="C41" s="66">
        <v>1588.66</v>
      </c>
      <c r="D41" s="44"/>
      <c r="F41" s="118" t="s">
        <v>3160</v>
      </c>
      <c r="G41" s="118">
        <v>23</v>
      </c>
      <c r="H41" s="118"/>
      <c r="I41" s="118" t="s">
        <v>1604</v>
      </c>
      <c r="J41" s="118"/>
      <c r="K41" s="76"/>
      <c r="L41" s="76"/>
      <c r="M41" s="76"/>
      <c r="N41" s="76"/>
      <c r="O41" s="76"/>
      <c r="P41" s="76"/>
      <c r="Q41" s="76"/>
    </row>
    <row r="42" spans="2:17" x14ac:dyDescent="0.25">
      <c r="B42" s="59" t="str">
        <f>VLOOKUP("Australia",T,lang,FALSE)</f>
        <v>Australia</v>
      </c>
      <c r="C42" s="66">
        <v>1580.67</v>
      </c>
      <c r="D42" s="44"/>
      <c r="F42" s="118" t="s">
        <v>3161</v>
      </c>
      <c r="G42" s="118">
        <v>24</v>
      </c>
      <c r="H42" s="118"/>
      <c r="I42" s="118" t="s">
        <v>2493</v>
      </c>
      <c r="J42" s="118"/>
      <c r="K42" s="76"/>
      <c r="L42" s="76"/>
      <c r="M42" s="76"/>
      <c r="N42" s="76"/>
      <c r="O42" s="76"/>
      <c r="P42" s="76"/>
      <c r="Q42" s="76"/>
    </row>
    <row r="43" spans="2:17" x14ac:dyDescent="0.25">
      <c r="B43" s="59" t="str">
        <f>VLOOKUP("Algeria",T,lang,FALSE)</f>
        <v>Algeria</v>
      </c>
      <c r="C43" s="66">
        <v>1564.26</v>
      </c>
      <c r="D43" s="44"/>
      <c r="F43" s="118"/>
      <c r="G43" s="118"/>
      <c r="H43" s="118"/>
      <c r="I43" s="118" t="s">
        <v>1920</v>
      </c>
      <c r="J43" s="118"/>
      <c r="K43" s="76"/>
      <c r="L43" s="76"/>
      <c r="M43" s="76"/>
      <c r="N43" s="76"/>
      <c r="O43" s="76"/>
      <c r="P43" s="76"/>
      <c r="Q43" s="76"/>
    </row>
    <row r="44" spans="2:17" x14ac:dyDescent="0.25">
      <c r="B44" s="59" t="str">
        <f>VLOOKUP("Egypt",T,lang,FALSE)</f>
        <v>Egypt</v>
      </c>
      <c r="C44" s="66">
        <v>1563.24</v>
      </c>
      <c r="D44" s="44"/>
      <c r="F44" s="118" t="s">
        <v>3133</v>
      </c>
      <c r="G44" s="118">
        <v>0</v>
      </c>
      <c r="H44" s="118"/>
      <c r="I44" s="118" t="s">
        <v>1323</v>
      </c>
      <c r="J44" s="118"/>
      <c r="K44" s="76"/>
      <c r="L44" s="76"/>
      <c r="M44" s="76"/>
      <c r="N44" s="76"/>
      <c r="O44" s="76"/>
      <c r="P44" s="76"/>
      <c r="Q44" s="76"/>
    </row>
    <row r="45" spans="2:17" x14ac:dyDescent="0.25">
      <c r="B45" s="59" t="str">
        <f>VLOOKUP("Canada",T,lang,FALSE)</f>
        <v>Canada</v>
      </c>
      <c r="C45" s="66">
        <v>1556.48</v>
      </c>
      <c r="D45" s="44"/>
      <c r="F45" s="118" t="s">
        <v>3162</v>
      </c>
      <c r="G45" s="118">
        <v>15</v>
      </c>
      <c r="H45" s="118"/>
      <c r="I45" s="118" t="s">
        <v>1677</v>
      </c>
      <c r="J45" s="118"/>
      <c r="K45" s="76"/>
      <c r="L45" s="76"/>
      <c r="M45" s="76"/>
      <c r="N45" s="76"/>
      <c r="O45" s="76"/>
      <c r="P45" s="76"/>
      <c r="Q45" s="76"/>
    </row>
    <row r="46" spans="2:17" x14ac:dyDescent="0.25">
      <c r="B46" s="59" t="str">
        <f>VLOOKUP("Norway",T,lang,FALSE)</f>
        <v>Norway</v>
      </c>
      <c r="C46" s="66">
        <v>1550.94</v>
      </c>
      <c r="D46" s="44"/>
      <c r="F46" s="118" t="s">
        <v>3163</v>
      </c>
      <c r="G46" s="118">
        <v>30</v>
      </c>
      <c r="H46" s="118"/>
      <c r="I46" s="118" t="s">
        <v>1113</v>
      </c>
      <c r="J46" s="118"/>
      <c r="K46" s="76"/>
      <c r="L46" s="76"/>
      <c r="M46" s="76"/>
      <c r="N46" s="76"/>
      <c r="O46" s="76"/>
      <c r="P46" s="76"/>
      <c r="Q46" s="76"/>
    </row>
    <row r="47" spans="2:17" x14ac:dyDescent="0.25">
      <c r="B47" s="59" t="str">
        <f>VLOOKUP("Panama",T,lang,FALSE)</f>
        <v>Panama</v>
      </c>
      <c r="C47" s="66">
        <v>1540.64</v>
      </c>
      <c r="D47" s="44"/>
      <c r="F47" s="118" t="s">
        <v>3164</v>
      </c>
      <c r="G47" s="118">
        <v>45</v>
      </c>
      <c r="H47" s="118"/>
      <c r="I47" s="118" t="s">
        <v>2304</v>
      </c>
      <c r="J47" s="118"/>
      <c r="K47" s="76"/>
      <c r="L47" s="76"/>
      <c r="M47" s="76"/>
      <c r="N47" s="76"/>
      <c r="O47" s="76"/>
      <c r="P47" s="76"/>
      <c r="Q47" s="76"/>
    </row>
    <row r="48" spans="2:17" x14ac:dyDescent="0.25">
      <c r="B48" s="59" t="str">
        <f>VLOOKUP("Ivory Coast",T,lang,FALSE)</f>
        <v>Ivory Coast</v>
      </c>
      <c r="C48" s="66">
        <v>1532.98</v>
      </c>
      <c r="D48" s="44"/>
      <c r="F48" s="118"/>
      <c r="G48" s="118"/>
      <c r="H48" s="118"/>
      <c r="I48" s="118" t="s">
        <v>2395</v>
      </c>
      <c r="J48" s="118"/>
      <c r="K48" s="76"/>
      <c r="L48" s="76"/>
      <c r="M48" s="76"/>
      <c r="N48" s="76"/>
      <c r="O48" s="76"/>
      <c r="P48" s="76"/>
      <c r="Q48" s="76"/>
    </row>
    <row r="49" spans="2:17" x14ac:dyDescent="0.25">
      <c r="B49" s="59" t="str">
        <f>VLOOKUP("Sweden",T,lang,FALSE)</f>
        <v>Sweden</v>
      </c>
      <c r="C49" s="66">
        <v>1514.77</v>
      </c>
      <c r="D49" s="44"/>
      <c r="F49" s="118"/>
      <c r="G49" s="118"/>
      <c r="H49" s="118"/>
      <c r="I49" s="118" t="s">
        <v>2600</v>
      </c>
      <c r="J49" s="118"/>
      <c r="K49" s="76"/>
      <c r="L49" s="76"/>
      <c r="M49" s="76"/>
      <c r="N49" s="76"/>
      <c r="O49" s="76"/>
      <c r="P49" s="76"/>
      <c r="Q49" s="76"/>
    </row>
    <row r="50" spans="2:17" x14ac:dyDescent="0.25">
      <c r="B50" s="59" t="str">
        <f>VLOOKUP("Paraguay",T,lang,FALSE)</f>
        <v>Paraguay</v>
      </c>
      <c r="C50" s="66">
        <v>1503.5</v>
      </c>
      <c r="D50" s="44"/>
      <c r="F50" s="118"/>
      <c r="G50" s="118"/>
      <c r="H50" s="118"/>
      <c r="I50" s="118" t="s">
        <v>2126</v>
      </c>
      <c r="J50" s="118"/>
      <c r="K50" s="76"/>
      <c r="L50" s="76"/>
      <c r="M50" s="76"/>
      <c r="N50" s="76"/>
      <c r="O50" s="76"/>
      <c r="P50" s="76"/>
      <c r="Q50" s="76"/>
    </row>
    <row r="51" spans="2:17" x14ac:dyDescent="0.25">
      <c r="B51" s="59" t="str">
        <f>VLOOKUP("Czech Republic",T,lang,FALSE)</f>
        <v>Czech Republic</v>
      </c>
      <c r="C51" s="66">
        <v>1501.38</v>
      </c>
      <c r="D51" s="44"/>
      <c r="F51" s="118"/>
      <c r="G51" s="118"/>
      <c r="H51" s="118"/>
      <c r="I51" s="118" t="s">
        <v>1858</v>
      </c>
      <c r="J51" s="118"/>
      <c r="K51" s="76"/>
      <c r="L51" s="76"/>
      <c r="M51" s="76"/>
      <c r="N51" s="76"/>
      <c r="O51" s="76"/>
      <c r="P51" s="76"/>
      <c r="Q51" s="76"/>
    </row>
    <row r="52" spans="2:17" x14ac:dyDescent="0.25">
      <c r="B52" s="59" t="str">
        <f>VLOOKUP("Scotland",T,lang,FALSE)</f>
        <v>Scotland</v>
      </c>
      <c r="C52" s="66">
        <v>1498.35</v>
      </c>
      <c r="D52" s="44"/>
      <c r="F52" s="118"/>
      <c r="G52" s="118"/>
      <c r="H52" s="118"/>
      <c r="I52" s="118" t="s">
        <v>1077</v>
      </c>
      <c r="J52" s="118"/>
      <c r="K52" s="76"/>
      <c r="L52" s="76"/>
      <c r="M52" s="76"/>
      <c r="N52" s="76"/>
      <c r="O52" s="76"/>
      <c r="P52" s="76"/>
      <c r="Q52" s="76"/>
    </row>
    <row r="53" spans="2:17" x14ac:dyDescent="0.25">
      <c r="B53" s="59" t="str">
        <f>VLOOKUP("Tunisia",T,lang,FALSE)</f>
        <v>Tunisia</v>
      </c>
      <c r="C53" s="66">
        <v>1483.05</v>
      </c>
      <c r="D53" s="44"/>
      <c r="F53" s="118"/>
      <c r="G53" s="118"/>
      <c r="H53" s="118"/>
      <c r="I53" s="118" t="s">
        <v>1285</v>
      </c>
      <c r="J53" s="118"/>
      <c r="K53" s="76"/>
      <c r="L53" s="76"/>
      <c r="M53" s="76"/>
      <c r="N53" s="76"/>
      <c r="O53" s="76"/>
      <c r="P53" s="76"/>
      <c r="Q53" s="76"/>
    </row>
    <row r="54" spans="2:17" x14ac:dyDescent="0.25">
      <c r="B54" s="59" t="str">
        <f>VLOOKUP("DR Congo",T,lang,FALSE)</f>
        <v>DR Congo</v>
      </c>
      <c r="C54" s="66">
        <v>1478.35</v>
      </c>
      <c r="D54" s="44"/>
      <c r="F54" s="118"/>
      <c r="G54" s="118"/>
      <c r="H54" s="118"/>
      <c r="I54" s="118" t="s">
        <v>2090</v>
      </c>
      <c r="J54" s="118"/>
      <c r="K54" s="76"/>
      <c r="L54" s="76"/>
      <c r="M54" s="76"/>
      <c r="N54" s="76"/>
      <c r="O54" s="76"/>
      <c r="P54" s="76"/>
      <c r="Q54" s="76"/>
    </row>
    <row r="55" spans="2:17" x14ac:dyDescent="0.25">
      <c r="B55" s="59" t="str">
        <f>VLOOKUP("Uzbekistan",T,lang,FALSE)</f>
        <v>Uzbekistan</v>
      </c>
      <c r="C55" s="66">
        <v>1465.34</v>
      </c>
      <c r="D55" s="44"/>
      <c r="F55" s="118"/>
      <c r="G55" s="118"/>
      <c r="H55" s="118"/>
      <c r="I55" s="118" t="s">
        <v>1058</v>
      </c>
      <c r="J55" s="118"/>
      <c r="K55" s="76"/>
      <c r="L55" s="76"/>
      <c r="M55" s="76"/>
      <c r="N55" s="76"/>
      <c r="O55" s="76"/>
      <c r="P55" s="76"/>
      <c r="Q55" s="76"/>
    </row>
    <row r="56" spans="2:17" x14ac:dyDescent="0.25">
      <c r="B56" s="59" t="str">
        <f>VLOOKUP("Qatar",T,lang,FALSE)</f>
        <v>Qatar</v>
      </c>
      <c r="C56" s="66">
        <v>1454.96</v>
      </c>
      <c r="D56" s="44"/>
      <c r="F56" s="118"/>
      <c r="G56" s="118"/>
      <c r="H56" s="118"/>
      <c r="I56" s="118" t="s">
        <v>1958</v>
      </c>
      <c r="J56" s="118"/>
      <c r="K56" s="76"/>
      <c r="L56" s="76"/>
      <c r="M56" s="76"/>
      <c r="N56" s="76"/>
      <c r="O56" s="76"/>
      <c r="P56" s="76"/>
      <c r="Q56" s="76"/>
    </row>
    <row r="57" spans="2:17" x14ac:dyDescent="0.25">
      <c r="B57" s="59" t="str">
        <f>VLOOKUP("Iraq",T,lang,FALSE)</f>
        <v>Iraq</v>
      </c>
      <c r="C57" s="66">
        <v>1447.14</v>
      </c>
      <c r="D57" s="44"/>
      <c r="F57" s="118"/>
      <c r="G57" s="118"/>
      <c r="H57" s="118"/>
      <c r="I57" s="118" t="s">
        <v>1508</v>
      </c>
      <c r="J57" s="118"/>
      <c r="K57" s="76"/>
      <c r="L57" s="76"/>
      <c r="M57" s="76"/>
      <c r="N57" s="76"/>
      <c r="O57" s="76"/>
      <c r="P57" s="76"/>
      <c r="Q57" s="76"/>
    </row>
    <row r="58" spans="2:17" x14ac:dyDescent="0.25">
      <c r="B58" s="59" t="str">
        <f>VLOOKUP("South Africa",T,lang,FALSE)</f>
        <v>South Africa</v>
      </c>
      <c r="C58" s="66">
        <v>1429.73</v>
      </c>
      <c r="D58" s="44"/>
      <c r="F58" s="118"/>
      <c r="G58" s="118"/>
      <c r="H58" s="118"/>
      <c r="I58" s="118" t="s">
        <v>2240</v>
      </c>
      <c r="J58" s="118"/>
      <c r="K58" s="76"/>
      <c r="L58" s="76"/>
      <c r="M58" s="76"/>
      <c r="N58" s="76"/>
      <c r="O58" s="76"/>
      <c r="P58" s="76"/>
      <c r="Q58" s="76"/>
    </row>
    <row r="59" spans="2:17" x14ac:dyDescent="0.25">
      <c r="B59" s="59" t="str">
        <f>VLOOKUP("Saudi Arabia",T,lang,FALSE)</f>
        <v>Saudi Arabia</v>
      </c>
      <c r="C59" s="66">
        <v>1421.43</v>
      </c>
      <c r="D59" s="44"/>
      <c r="F59" s="118"/>
      <c r="G59" s="118"/>
      <c r="H59" s="118"/>
      <c r="I59" s="118" t="s">
        <v>1798</v>
      </c>
      <c r="J59" s="118"/>
      <c r="K59" s="76"/>
      <c r="L59" s="76"/>
      <c r="M59" s="76"/>
      <c r="N59" s="76"/>
      <c r="O59" s="76"/>
      <c r="P59" s="76"/>
      <c r="Q59" s="76"/>
    </row>
    <row r="60" spans="2:17" x14ac:dyDescent="0.25">
      <c r="B60" s="59" t="str">
        <f>VLOOKUP("Jordan",T,lang,FALSE)</f>
        <v>Jordan</v>
      </c>
      <c r="C60" s="66">
        <v>1391.45</v>
      </c>
      <c r="D60" s="44"/>
      <c r="F60" s="118"/>
      <c r="G60" s="118"/>
      <c r="H60" s="118"/>
      <c r="I60" s="118" t="s">
        <v>1479</v>
      </c>
      <c r="J60" s="118"/>
      <c r="K60" s="76"/>
      <c r="L60" s="76"/>
      <c r="M60" s="76"/>
      <c r="N60" s="76"/>
      <c r="O60" s="76"/>
      <c r="P60" s="76"/>
      <c r="Q60" s="76"/>
    </row>
    <row r="61" spans="2:17" x14ac:dyDescent="0.25">
      <c r="B61" s="59" t="str">
        <f>VLOOKUP("Bosnia and Herzegovina",T,lang,FALSE)</f>
        <v>Bosnia and Herzegovina</v>
      </c>
      <c r="C61" s="66">
        <v>1385.84</v>
      </c>
      <c r="D61" s="44"/>
      <c r="F61" s="118"/>
      <c r="G61" s="118"/>
      <c r="H61" s="118"/>
      <c r="I61" s="118" t="s">
        <v>2146</v>
      </c>
      <c r="J61" s="118"/>
      <c r="K61" s="76"/>
      <c r="L61" s="76"/>
      <c r="M61" s="76"/>
      <c r="N61" s="76"/>
      <c r="O61" s="76"/>
      <c r="P61" s="76"/>
      <c r="Q61" s="76"/>
    </row>
    <row r="62" spans="2:17" x14ac:dyDescent="0.25">
      <c r="B62" s="59" t="str">
        <f>VLOOKUP("Cape Verde",T,lang,FALSE)</f>
        <v>Cape Verde</v>
      </c>
      <c r="C62" s="66">
        <v>1366.13</v>
      </c>
      <c r="D62" s="44"/>
      <c r="F62" s="118"/>
      <c r="G62" s="118"/>
      <c r="H62" s="118"/>
      <c r="I62" s="118" t="s">
        <v>1198</v>
      </c>
      <c r="J62" s="118"/>
      <c r="K62" s="76"/>
      <c r="L62" s="76"/>
      <c r="M62" s="76"/>
      <c r="N62" s="76"/>
      <c r="O62" s="76"/>
      <c r="P62" s="76"/>
      <c r="Q62" s="76"/>
    </row>
    <row r="63" spans="2:17" x14ac:dyDescent="0.25">
      <c r="B63" s="59" t="str">
        <f>VLOOKUP("Ghana",T,lang,FALSE)</f>
        <v>Ghana</v>
      </c>
      <c r="C63" s="66">
        <v>1346.31</v>
      </c>
      <c r="D63" s="44"/>
      <c r="F63" s="118"/>
      <c r="G63" s="118"/>
      <c r="H63" s="118"/>
      <c r="I63" s="118" t="s">
        <v>1900</v>
      </c>
      <c r="J63" s="118"/>
      <c r="K63" s="76"/>
      <c r="L63" s="76"/>
      <c r="M63" s="76"/>
      <c r="N63" s="76"/>
      <c r="O63" s="76"/>
      <c r="P63" s="76"/>
      <c r="Q63" s="76"/>
    </row>
    <row r="64" spans="2:17" x14ac:dyDescent="0.25">
      <c r="B64" s="59" t="str">
        <f>VLOOKUP("Curaçao",T,lang,FALSE)</f>
        <v>Curaçao</v>
      </c>
      <c r="C64" s="66">
        <v>1294.6500000000001</v>
      </c>
      <c r="D64" s="44"/>
      <c r="F64" s="118"/>
      <c r="G64" s="118"/>
      <c r="H64" s="118"/>
      <c r="I64" s="118" t="s">
        <v>2549</v>
      </c>
      <c r="J64" s="118"/>
      <c r="K64" s="76"/>
      <c r="L64" s="76"/>
      <c r="M64" s="76"/>
      <c r="N64" s="76"/>
      <c r="O64" s="76"/>
      <c r="P64" s="76"/>
      <c r="Q64" s="76"/>
    </row>
    <row r="65" spans="2:17" x14ac:dyDescent="0.25">
      <c r="B65" s="59" t="str">
        <f>VLOOKUP("Haiti",T,lang,FALSE)</f>
        <v>Haiti</v>
      </c>
      <c r="C65" s="66">
        <v>1291.71</v>
      </c>
      <c r="D65" s="44"/>
      <c r="F65" s="118" t="s">
        <v>3165</v>
      </c>
      <c r="G65" s="118">
        <f>IF(G4="Type 2",0,1)</f>
        <v>1</v>
      </c>
      <c r="H65" s="118"/>
      <c r="I65" s="118"/>
      <c r="J65" s="118"/>
      <c r="K65" s="76"/>
      <c r="L65" s="76"/>
      <c r="M65" s="76"/>
      <c r="N65" s="76"/>
      <c r="O65" s="76"/>
      <c r="P65" s="76"/>
      <c r="Q65" s="76"/>
    </row>
    <row r="66" spans="2:17" x14ac:dyDescent="0.25">
      <c r="B66" s="59" t="str">
        <f>VLOOKUP("New Zealand",T,lang,FALSE)</f>
        <v>New Zealand</v>
      </c>
      <c r="C66" s="67">
        <v>1281.57</v>
      </c>
      <c r="D66" s="44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</row>
    <row r="67" spans="2:17" x14ac:dyDescent="0.25">
      <c r="B67" s="51"/>
      <c r="C67" s="52"/>
      <c r="D67" s="53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</row>
    <row r="68" spans="2:17" x14ac:dyDescent="0.25"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</row>
    <row r="69" spans="2:17" x14ac:dyDescent="0.25"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</row>
    <row r="70" spans="2:17" x14ac:dyDescent="0.25"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</row>
    <row r="71" spans="2:17" x14ac:dyDescent="0.25"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</row>
    <row r="72" spans="2:17" x14ac:dyDescent="0.25"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</row>
  </sheetData>
  <sheetProtection algorithmName="SHA-512" hashValue="kskvAe6zVBzOc7F9qex7mcbnakd5j6ZJBXXsQEVmNo1L3lYh559YlHsl8VkAgYFdowXYjPn+M0CRrW5PS4T8BA==" saltValue="cLLhtMne1kSM6QbKQoaFMw==" spinCount="100000" sheet="1" objects="1" scenarios="1"/>
  <sortState xmlns:xlrd2="http://schemas.microsoft.com/office/spreadsheetml/2017/richdata2" ref="I17:I64">
    <sortCondition ref="I17:I64"/>
  </sortState>
  <dataValidations count="6">
    <dataValidation type="list" allowBlank="1" showInputMessage="1" showErrorMessage="1" promptTitle="Select Language" prompt="Use drop-down List" sqref="C4" xr:uid="{00000000-0002-0000-0100-000000000000}">
      <formula1>lang_list</formula1>
    </dataValidation>
    <dataValidation type="list" allowBlank="1" showInputMessage="1" showErrorMessage="1" promptTitle="Select Summer Time" prompt="Use drop-down List" sqref="C6" xr:uid="{00000000-0002-0000-0100-000001000000}">
      <formula1>"Yes,No"</formula1>
    </dataValidation>
    <dataValidation type="list" allowBlank="1" showInputMessage="1" showErrorMessage="1" promptTitle="Select Minutes" prompt="Use drop-down List" sqref="C10" xr:uid="{00000000-0002-0000-0100-000003000000}">
      <formula1>$F$44:$F$47</formula1>
    </dataValidation>
    <dataValidation type="list" allowBlank="1" showInputMessage="1" showErrorMessage="1" promptTitle="Select Your Favorite Team" prompt="Use drop-down List" sqref="C12" xr:uid="{00000000-0002-0000-0100-000004000000}">
      <formula1>teams</formula1>
    </dataValidation>
    <dataValidation type="list" allowBlank="1" showInputMessage="1" showErrorMessage="1" promptTitle="Select GTM-time" prompt="Use drop-down List" sqref="C8" xr:uid="{00000000-0002-0000-0100-000002000000}">
      <formula1>$F$18:$F$42</formula1>
    </dataValidation>
    <dataValidation type="list" allowBlank="1" showInputMessage="1" showErrorMessage="1" promptTitle="Highlight Group Matches" prompt="Include all group-stage matches for your selected team" sqref="C14" xr:uid="{6D193DDE-9460-434D-88D5-4362C661E3EB}">
      <formula1>"Yes,No"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R111"/>
  <sheetViews>
    <sheetView showGridLines="0" tabSelected="1" zoomScaleNormal="100" workbookViewId="0">
      <selection sqref="A1:P1"/>
    </sheetView>
  </sheetViews>
  <sheetFormatPr defaultColWidth="9.140625" defaultRowHeight="15" x14ac:dyDescent="0.25"/>
  <cols>
    <col min="1" max="1" width="4.85546875" style="3" customWidth="1"/>
    <col min="2" max="2" width="6.140625" style="3" customWidth="1"/>
    <col min="3" max="3" width="11.7109375" style="3" bestFit="1" customWidth="1"/>
    <col min="4" max="4" width="9" style="4" customWidth="1"/>
    <col min="5" max="5" width="22.5703125" style="5" customWidth="1"/>
    <col min="6" max="7" width="4.28515625" style="6" customWidth="1"/>
    <col min="8" max="8" width="22.5703125" style="7" customWidth="1"/>
    <col min="9" max="9" width="3.42578125" style="2" customWidth="1"/>
    <col min="10" max="10" width="19.42578125" style="8" customWidth="1"/>
    <col min="11" max="14" width="5.42578125" style="9" customWidth="1"/>
    <col min="15" max="15" width="7.7109375" style="9" customWidth="1"/>
    <col min="16" max="16" width="6.7109375" style="9" customWidth="1"/>
    <col min="17" max="17" width="3.42578125" style="68" customWidth="1"/>
    <col min="18" max="18" width="15.42578125" style="123" hidden="1" customWidth="1"/>
    <col min="19" max="20" width="16" style="127" hidden="1" customWidth="1"/>
    <col min="21" max="28" width="4" style="123" hidden="1" customWidth="1"/>
    <col min="29" max="29" width="4.28515625" style="124" hidden="1" customWidth="1"/>
    <col min="30" max="30" width="5.42578125" style="123" hidden="1" customWidth="1"/>
    <col min="31" max="31" width="13.42578125" style="124" hidden="1" customWidth="1"/>
    <col min="32" max="36" width="5.42578125" style="123" hidden="1" customWidth="1"/>
    <col min="37" max="39" width="6" style="123" hidden="1" customWidth="1"/>
    <col min="40" max="40" width="5.42578125" style="123" hidden="1" customWidth="1"/>
    <col min="41" max="42" width="6" style="123" hidden="1" customWidth="1"/>
    <col min="43" max="43" width="7.140625" style="125" hidden="1" customWidth="1"/>
    <col min="44" max="44" width="10" style="125" hidden="1" customWidth="1"/>
    <col min="45" max="45" width="15.28515625" style="125" hidden="1" customWidth="1"/>
    <col min="46" max="50" width="4.7109375" style="126" hidden="1" customWidth="1"/>
    <col min="51" max="51" width="9.140625" style="125" hidden="1" customWidth="1"/>
    <col min="52" max="61" width="9.140625" style="126" hidden="1" customWidth="1"/>
    <col min="62" max="62" width="9.140625" style="112" hidden="1" customWidth="1"/>
    <col min="63" max="63" width="3.28515625" style="2" customWidth="1"/>
    <col min="64" max="64" width="19.7109375" style="2" customWidth="1"/>
    <col min="65" max="67" width="3" style="2" customWidth="1"/>
    <col min="68" max="69" width="2" style="111" customWidth="1"/>
    <col min="70" max="70" width="3.28515625" style="2" customWidth="1"/>
    <col min="71" max="71" width="19.7109375" style="2" customWidth="1"/>
    <col min="72" max="74" width="3" style="2" customWidth="1"/>
    <col min="75" max="76" width="2" style="111" customWidth="1"/>
    <col min="77" max="77" width="4" style="2" customWidth="1"/>
    <col min="78" max="78" width="19.7109375" style="2" customWidth="1"/>
    <col min="79" max="81" width="3" style="2" customWidth="1"/>
    <col min="82" max="83" width="2" style="111" customWidth="1"/>
    <col min="84" max="84" width="3.85546875" style="2" customWidth="1"/>
    <col min="85" max="85" width="19.7109375" style="2" customWidth="1"/>
    <col min="86" max="88" width="3" style="2" customWidth="1"/>
    <col min="89" max="90" width="2" style="111" customWidth="1"/>
    <col min="91" max="91" width="3.7109375" style="2" customWidth="1"/>
    <col min="92" max="92" width="19.7109375" style="2" customWidth="1"/>
    <col min="93" max="95" width="3" style="2" customWidth="1"/>
    <col min="96" max="96" width="2" style="111" customWidth="1"/>
    <col min="97" max="16384" width="9.140625" style="2"/>
  </cols>
  <sheetData>
    <row r="1" spans="1:95" ht="46.5" x14ac:dyDescent="0.25">
      <c r="A1" s="139" t="str" cm="1">
        <f t="array" ref="A1">INDEX(T,2,lang)</f>
        <v>2026 World Cup Final Tournament Schedule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S1" s="123"/>
      <c r="T1" s="123"/>
      <c r="AC1" s="123"/>
      <c r="AE1" s="123"/>
      <c r="AG1" s="124"/>
      <c r="AH1" s="124"/>
      <c r="AI1" s="124"/>
      <c r="AO1" s="124"/>
      <c r="AP1" s="124"/>
      <c r="AT1" s="125"/>
      <c r="AU1" s="125"/>
      <c r="AV1" s="125"/>
      <c r="AW1" s="125"/>
      <c r="AX1" s="125"/>
    </row>
    <row r="2" spans="1:95" ht="3" customHeight="1" x14ac:dyDescent="0.25">
      <c r="S2" s="123"/>
      <c r="T2" s="123"/>
      <c r="AC2" s="123"/>
      <c r="AE2" s="123"/>
      <c r="AG2" s="124"/>
      <c r="AH2" s="124"/>
      <c r="AI2" s="124"/>
      <c r="AO2" s="124"/>
      <c r="AP2" s="124"/>
      <c r="AT2" s="125"/>
      <c r="AU2" s="125"/>
      <c r="AV2" s="125"/>
      <c r="AW2" s="125"/>
      <c r="AX2" s="125"/>
    </row>
    <row r="3" spans="1:95" ht="12.75" customHeight="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40" t="str">
        <f>"Language: " &amp; Settings!C4</f>
        <v>Language: English</v>
      </c>
      <c r="P3" s="140"/>
      <c r="S3" s="123"/>
      <c r="T3" s="123"/>
      <c r="AC3" s="123"/>
      <c r="AE3" s="123"/>
      <c r="AG3" s="124"/>
      <c r="AH3" s="124"/>
      <c r="AI3" s="124"/>
      <c r="AO3" s="124"/>
      <c r="AP3" s="124"/>
      <c r="AT3" s="125"/>
      <c r="AU3" s="125"/>
      <c r="AV3" s="125"/>
      <c r="AW3" s="125"/>
      <c r="AX3" s="125"/>
    </row>
    <row r="4" spans="1:95" ht="3" customHeight="1" x14ac:dyDescent="0.25"/>
    <row r="5" spans="1:95" x14ac:dyDescent="0.25">
      <c r="A5" s="141" t="str" cm="1">
        <f t="array" ref="A5">INDEX(T,3,lang)</f>
        <v>Group Stage</v>
      </c>
      <c r="B5" s="142"/>
      <c r="C5" s="142"/>
      <c r="D5" s="142"/>
      <c r="E5" s="142"/>
      <c r="F5" s="142"/>
      <c r="G5" s="142"/>
      <c r="H5" s="143"/>
      <c r="J5" s="147" t="s">
        <v>3166</v>
      </c>
      <c r="K5" s="148"/>
      <c r="L5" s="148"/>
      <c r="M5" s="148"/>
      <c r="N5" s="148"/>
      <c r="O5" s="148"/>
      <c r="P5" s="149"/>
    </row>
    <row r="6" spans="1:95" ht="15" customHeight="1" x14ac:dyDescent="0.25">
      <c r="A6" s="144"/>
      <c r="B6" s="145"/>
      <c r="C6" s="145"/>
      <c r="D6" s="145"/>
      <c r="E6" s="145"/>
      <c r="F6" s="145"/>
      <c r="G6" s="145"/>
      <c r="H6" s="146"/>
      <c r="J6" s="150"/>
      <c r="K6" s="151"/>
      <c r="L6" s="151"/>
      <c r="M6" s="151"/>
      <c r="N6" s="151"/>
      <c r="O6" s="151"/>
      <c r="P6" s="152"/>
      <c r="R6" s="123" t="s">
        <v>3167</v>
      </c>
      <c r="V6" s="123" t="s">
        <v>3168</v>
      </c>
      <c r="W6" s="123" t="s">
        <v>3169</v>
      </c>
      <c r="Y6" s="123" t="s">
        <v>3168</v>
      </c>
      <c r="Z6" s="123" t="s">
        <v>3169</v>
      </c>
      <c r="AA6" s="123">
        <f>IF(Settings!C14="Yes",INT(MATCH(my_team,$AE$8:$AE$78,0)/6),-1)</f>
        <v>-1</v>
      </c>
      <c r="AD6" s="123" t="s">
        <v>3170</v>
      </c>
      <c r="AE6" s="123" t="s">
        <v>1024</v>
      </c>
      <c r="AF6" s="123" t="s">
        <v>370</v>
      </c>
      <c r="AG6" s="123" t="s">
        <v>406</v>
      </c>
      <c r="AH6" s="123" t="s">
        <v>342</v>
      </c>
      <c r="AI6" s="123" t="s">
        <v>3168</v>
      </c>
      <c r="AJ6" s="123" t="s">
        <v>3169</v>
      </c>
      <c r="AL6" s="123" t="s">
        <v>3171</v>
      </c>
      <c r="AM6" s="123" t="s">
        <v>3172</v>
      </c>
      <c r="AN6" s="123" t="s">
        <v>3173</v>
      </c>
      <c r="AO6" s="123" t="s">
        <v>3174</v>
      </c>
      <c r="AP6" s="123" t="s">
        <v>3175</v>
      </c>
      <c r="AQ6" s="126" t="s">
        <v>3176</v>
      </c>
      <c r="AR6" s="126" t="s">
        <v>3177</v>
      </c>
      <c r="AT6" s="126" t="s">
        <v>370</v>
      </c>
      <c r="AU6" s="126" t="s">
        <v>406</v>
      </c>
      <c r="AV6" s="126" t="s">
        <v>3168</v>
      </c>
      <c r="AW6" s="126" t="s">
        <v>3169</v>
      </c>
      <c r="AX6" s="126" t="s">
        <v>3171</v>
      </c>
      <c r="AY6" s="126" t="s">
        <v>3172</v>
      </c>
      <c r="AZ6" s="126" t="s">
        <v>3177</v>
      </c>
      <c r="BA6" s="128" t="s">
        <v>3178</v>
      </c>
      <c r="BB6" s="128" t="s">
        <v>370</v>
      </c>
      <c r="BC6" s="128" t="s">
        <v>406</v>
      </c>
      <c r="BD6" s="128" t="s">
        <v>3168</v>
      </c>
      <c r="BE6" s="128" t="s">
        <v>3169</v>
      </c>
      <c r="BF6" s="128" t="s">
        <v>3171</v>
      </c>
      <c r="BG6" s="128" t="s">
        <v>3172</v>
      </c>
      <c r="BH6" s="128" t="s">
        <v>3177</v>
      </c>
      <c r="BI6" s="128" t="s">
        <v>3178</v>
      </c>
      <c r="BK6" s="133" t="s">
        <v>3179</v>
      </c>
      <c r="BL6" s="134"/>
      <c r="BM6" s="134"/>
      <c r="BN6" s="134"/>
      <c r="BO6" s="135"/>
      <c r="BR6" s="133" t="str" cm="1">
        <f t="array" ref="BR6">INDEX(T,4,lang)</f>
        <v>Round of 16</v>
      </c>
      <c r="BS6" s="134"/>
      <c r="BT6" s="134"/>
      <c r="BU6" s="134"/>
      <c r="BV6" s="135"/>
      <c r="BY6" s="133" t="str" cm="1">
        <f t="array" ref="BY6">INDEX(T,5,lang)</f>
        <v>Quarterfinals</v>
      </c>
      <c r="BZ6" s="134"/>
      <c r="CA6" s="134"/>
      <c r="CB6" s="134"/>
      <c r="CC6" s="135"/>
      <c r="CF6" s="133" t="str" cm="1">
        <f t="array" ref="CF6">INDEX(T,6,lang)</f>
        <v>Semi-Finals</v>
      </c>
      <c r="CG6" s="134"/>
      <c r="CH6" s="134"/>
      <c r="CI6" s="134"/>
      <c r="CJ6" s="135"/>
    </row>
    <row r="7" spans="1:95" ht="15" customHeight="1" x14ac:dyDescent="0.25">
      <c r="A7" s="11">
        <v>1</v>
      </c>
      <c r="B7" s="12" t="str" cm="1">
        <f t="array" ref="B7">INDEX(T,18+INT(MOD(R7-1,7)),lang)</f>
        <v>Thu</v>
      </c>
      <c r="C7" s="13" t="str" cm="1">
        <f t="array" ref="C7">INDEX(T,24+MONTH(R7),lang) &amp; " " &amp; DAY(R7) &amp; ", " &amp; YEAR(R7)</f>
        <v>Jun 11, 2026</v>
      </c>
      <c r="D7" s="119">
        <f t="shared" ref="D7" si="0">TIME(HOUR(R7),MINUTE(R7),0)</f>
        <v>0.83333333333333337</v>
      </c>
      <c r="E7" s="77" t="str">
        <f>AE8</f>
        <v>Mexico</v>
      </c>
      <c r="F7" s="14">
        <v>2</v>
      </c>
      <c r="G7" s="15">
        <v>0</v>
      </c>
      <c r="H7" s="79" t="str">
        <f>AE9</f>
        <v>South Africa</v>
      </c>
      <c r="R7" s="123">
        <f>DATE(2026,6,11)+TIME(8,0,0)+gmt_delta</f>
        <v>46184.833333333336</v>
      </c>
      <c r="S7" s="127" t="str">
        <f t="shared" ref="S7:S46" si="1">IF(OR(F7="",G7=""),"",IF(F7&gt;G7,E7&amp;"_win",IF(F7&lt;G7,E7&amp;"_lose",E7&amp;"_draw")))</f>
        <v>Mexico_win</v>
      </c>
      <c r="T7" s="127" t="str">
        <f t="shared" ref="T7:T46" si="2">IF(S7="","",IF(F7&lt;G7,H7&amp;"_win",IF(F7&gt;G7,H7&amp;"_lose",H7&amp;"_draw")))</f>
        <v>South Africa_lose</v>
      </c>
      <c r="U7" s="123">
        <f>IF(S7="",0,IF(VLOOKUP(E7,$AE$8:$AN$77,10,FALSE)=VLOOKUP(H7,$AE$8:$AN$77,10,FALSE),1,0))</f>
        <v>0</v>
      </c>
      <c r="V7" s="123">
        <f t="shared" ref="V7:V46" si="3">U7*F7</f>
        <v>0</v>
      </c>
      <c r="W7" s="123">
        <f t="shared" ref="W7:W46" si="4">U7*G7</f>
        <v>0</v>
      </c>
      <c r="X7" s="123">
        <f>IF(S7="",0,IF(VLOOKUP(E7,$AE$8:$AO$77,11,FALSE)=VLOOKUP(H7,$AE$8:$AO$77,11,FALSE),1,0))</f>
        <v>0</v>
      </c>
      <c r="Y7" s="123">
        <f>X7*F7</f>
        <v>0</v>
      </c>
      <c r="Z7" s="123">
        <f>X7*G7</f>
        <v>0</v>
      </c>
      <c r="AA7" s="123">
        <f t="shared" ref="AA7:AA38" si="5">IF(OR(E7=my_team,H7=my_team),1,IF(INT(MATCH(E7,$AE$8:$AE$78,0)/6)=$AA$6,1,0))</f>
        <v>0</v>
      </c>
      <c r="AB7" s="123">
        <f t="shared" ref="AB7:AB46" si="6">IF(OR(F7="",G7=""),"",IF(F7&gt;G7,1,IF(F7&lt;G7,-1,0)))</f>
        <v>1</v>
      </c>
      <c r="AY7" s="126"/>
      <c r="BK7" s="136"/>
      <c r="BL7" s="137"/>
      <c r="BM7" s="137"/>
      <c r="BN7" s="137"/>
      <c r="BO7" s="138"/>
      <c r="BR7" s="136"/>
      <c r="BS7" s="137"/>
      <c r="BT7" s="137"/>
      <c r="BU7" s="137"/>
      <c r="BV7" s="138"/>
      <c r="BY7" s="136"/>
      <c r="BZ7" s="137"/>
      <c r="CA7" s="137"/>
      <c r="CB7" s="137"/>
      <c r="CC7" s="138"/>
      <c r="CF7" s="136"/>
      <c r="CG7" s="137"/>
      <c r="CH7" s="137"/>
      <c r="CI7" s="137"/>
      <c r="CJ7" s="138"/>
    </row>
    <row r="8" spans="1:95" x14ac:dyDescent="0.25">
      <c r="A8" s="16">
        <v>2</v>
      </c>
      <c r="B8" s="17" t="str" cm="1">
        <f t="array" ref="B8">INDEX(T,18+INT(MOD(R8-1,7)),lang)</f>
        <v>Fri</v>
      </c>
      <c r="C8" s="18" t="str" cm="1">
        <f t="array" ref="C8">INDEX(T,24+MONTH(R8),lang) &amp; " " &amp; DAY(R8) &amp; ", " &amp; YEAR(R8)</f>
        <v>Jun 12, 2026</v>
      </c>
      <c r="D8" s="120">
        <f t="shared" ref="D8:D71" si="7">TIME(HOUR(R8),MINUTE(R8),0)</f>
        <v>0.125</v>
      </c>
      <c r="E8" s="78" t="str">
        <f>AE10</f>
        <v>Korea Republic</v>
      </c>
      <c r="F8" s="19">
        <v>2</v>
      </c>
      <c r="G8" s="20">
        <v>1</v>
      </c>
      <c r="H8" s="80" t="str">
        <f>AE11</f>
        <v>Czech Republic</v>
      </c>
      <c r="J8" s="38" t="str" cm="1">
        <f t="array" ref="J8">INDEX(T,9,lang) &amp; " " &amp; "A"</f>
        <v>Group A</v>
      </c>
      <c r="K8" s="94" t="str" cm="1">
        <f t="array" ref="K8">INDEX(T,10,lang)</f>
        <v>PL</v>
      </c>
      <c r="L8" s="94" t="str" cm="1">
        <f t="array" ref="L8">INDEX(T,11,lang)</f>
        <v>W</v>
      </c>
      <c r="M8" s="94" t="str" cm="1">
        <f t="array" ref="M8">INDEX(T,12,lang)</f>
        <v>DRAW</v>
      </c>
      <c r="N8" s="94" t="str" cm="1">
        <f t="array" ref="N8">INDEX(T,13,lang)</f>
        <v>L</v>
      </c>
      <c r="O8" s="94" t="str" cm="1">
        <f t="array" ref="O8">INDEX(T,14,lang)</f>
        <v>GF - GA</v>
      </c>
      <c r="P8" s="95" t="str" cm="1">
        <f t="array" ref="P8">INDEX(T,15,lang)</f>
        <v>PNT</v>
      </c>
      <c r="R8" s="123">
        <f>DATE(2026,6,11)+TIME(15,0,0)+gmt_delta</f>
        <v>46185.125</v>
      </c>
      <c r="S8" s="127" t="str">
        <f t="shared" si="1"/>
        <v>Korea Republic_win</v>
      </c>
      <c r="T8" s="127" t="str">
        <f t="shared" si="2"/>
        <v>Czech Republic_lose</v>
      </c>
      <c r="U8" s="123">
        <f t="shared" ref="U8:U71" si="8">IF(S8="",0,IF(VLOOKUP(E8,$AE$8:$AN$77,10,FALSE)=VLOOKUP(H8,$AE$8:$AN$77,10,FALSE),1,0))</f>
        <v>0</v>
      </c>
      <c r="V8" s="123">
        <f t="shared" si="3"/>
        <v>0</v>
      </c>
      <c r="W8" s="123">
        <f t="shared" si="4"/>
        <v>0</v>
      </c>
      <c r="X8" s="123">
        <f t="shared" ref="X8:X71" si="9">IF(S8="",0,IF(VLOOKUP(E8,$AE$8:$AO$77,11,FALSE)=VLOOKUP(H8,$AE$8:$AO$77,11,FALSE),1,0))</f>
        <v>0</v>
      </c>
      <c r="Y8" s="123">
        <f t="shared" ref="Y8:Y71" si="10">X8*F8</f>
        <v>0</v>
      </c>
      <c r="Z8" s="123">
        <f t="shared" ref="Z8:Z71" si="11">X8*G8</f>
        <v>0</v>
      </c>
      <c r="AA8" s="123">
        <f t="shared" si="5"/>
        <v>0</v>
      </c>
      <c r="AB8" s="123">
        <f t="shared" si="6"/>
        <v>1</v>
      </c>
      <c r="AD8" s="123">
        <f>COUNTIF(AR8:AR11,CONCATENATE("&gt;=",AR8))</f>
        <v>1</v>
      </c>
      <c r="AE8" s="124" t="str">
        <f>VLOOKUP("Mexico",T,lang,FALSE)</f>
        <v>Mexico</v>
      </c>
      <c r="AF8" s="123">
        <f>COUNTIF($S$7:$T$78,"=" &amp; AE8 &amp; "_win")</f>
        <v>3</v>
      </c>
      <c r="AG8" s="123">
        <f>COUNTIF($S$7:$T$78,"=" &amp; AE8 &amp; "_draw")</f>
        <v>0</v>
      </c>
      <c r="AH8" s="123">
        <f>COUNTIF($S$7:$T$78,"=" &amp; AE8 &amp; "_lose")</f>
        <v>0</v>
      </c>
      <c r="AI8" s="123">
        <f>SUMIF($E$7:$E$78,$AE8,$F$7:$F$78) + SUMIF($H$7:$H$78,$AE8,$G$7:$G$78)</f>
        <v>6</v>
      </c>
      <c r="AJ8" s="123">
        <f>SUMIF($E$7:$E$78,$AE8,$G$7:$G$78) + SUMIF($H$7:$H$78,$AE8,$F$7:$F$78)</f>
        <v>0</v>
      </c>
      <c r="AL8" s="123">
        <f>AI8-AJ8</f>
        <v>6</v>
      </c>
      <c r="AM8" s="123">
        <f>AL8-AL12</f>
        <v>10</v>
      </c>
      <c r="AN8" s="123">
        <f>AF8*3+AG8</f>
        <v>9</v>
      </c>
      <c r="AO8" s="123">
        <f>AN8/AN12*10+BA8</f>
        <v>9</v>
      </c>
      <c r="AP8" s="123">
        <f>AO8*10000000+BI8*100+AM8/AM12*10+AI8/AI12*1++IF(AQ8=0,ROW(),AQ8)/2000000</f>
        <v>90000009.948892459</v>
      </c>
      <c r="AQ8" s="126">
        <f>VLOOKUP(AE8,db_fifarank,2,FALSE)</f>
        <v>1681.03</v>
      </c>
      <c r="AR8" s="125">
        <f>AP8/AP12</f>
        <v>0.99999998888889019</v>
      </c>
      <c r="AS8" s="125" t="str">
        <f>IF(SUM(AF8:AH11)=12,J9,"1A")</f>
        <v>Mexico</v>
      </c>
      <c r="AT8" s="126" cm="1">
        <f t="array" ref="AT8">SUMPRODUCT(($S$7:$S$78=AE8&amp;"_win")*($U$7:$U$78))+SUMPRODUCT(($T$7:$T$78=AE8&amp;"_win")*($U$7:$U$78))</f>
        <v>0</v>
      </c>
      <c r="AU8" s="126" cm="1">
        <f t="array" ref="AU8">SUMPRODUCT(($S$7:$S$78=AE8&amp;"_draw")*($U$7:$U$78))+SUMPRODUCT(($T$7:$T$78=AE8&amp;"_draw")*($U$7:$U$78))</f>
        <v>0</v>
      </c>
      <c r="AV8" s="126" cm="1">
        <f t="array" ref="AV8">SUMPRODUCT(($E$7:$E$78=AE8)*($U$7:$U$78)*($F$7:$F$78))+SUMPRODUCT(($H$7:$H$78=AE8)*($U$7:$U$78)*($G$7:$G$78))</f>
        <v>0</v>
      </c>
      <c r="AW8" s="126" cm="1">
        <f t="array" ref="AW8">SUMPRODUCT(($E$7:$E$78=AE8)*($U$7:$U$78)*($G$7:$G$78))+SUMPRODUCT(($H$7:$H$78=AE8)*($U$7:$U$78)*($F$7:$F$78))</f>
        <v>0</v>
      </c>
      <c r="AX8" s="126">
        <f>AV8-AW8</f>
        <v>0</v>
      </c>
      <c r="AY8" s="126">
        <f>AX8-MIN(AX8:AX11)</f>
        <v>0</v>
      </c>
      <c r="AZ8" s="126">
        <f>AT8/AT12*1000+AU8/AU12*100+AY8/AY12*10+AV8/AV12</f>
        <v>0</v>
      </c>
      <c r="BA8" s="126">
        <f>AZ8/AZ12</f>
        <v>0</v>
      </c>
      <c r="BB8" s="126" cm="1">
        <f t="array" ref="BB8">SUMPRODUCT(($S$7:$S$78=AE8&amp;"_win")*($X$7:$X$78))+SUMPRODUCT(($T$7:$T$78=AE8&amp;"_win")*($X$7:$X$78))</f>
        <v>0</v>
      </c>
      <c r="BC8" s="126" cm="1">
        <f t="array" ref="BC8">SUMPRODUCT(($S$7:$S$78=AE8&amp;"_draw")*($X$7:$X$78))+SUMPRODUCT(($T$7:$T$78=AE8&amp;"_draw")*($X$7:$X$78))</f>
        <v>0</v>
      </c>
      <c r="BD8" s="126" cm="1">
        <f t="array" ref="BD8">SUMPRODUCT(($E$7:$E$78=AE8)*($X$7:$X$78)*($F$7:$F$78))+SUMPRODUCT(($H$7:$H$78=AE8)*($X$7:$X$78)*($G$7:$G$78))</f>
        <v>0</v>
      </c>
      <c r="BE8" s="126" cm="1">
        <f t="array" ref="BE8">SUMPRODUCT(($E$7:$E$78=AE8)*($X$7:$X$78)*($G$7:$G$78))+SUMPRODUCT(($H$7:$H$78=AE8)*($X$7:$X$78)*($F$7:$F$78))</f>
        <v>0</v>
      </c>
      <c r="BF8" s="126">
        <f>BD8-BE8</f>
        <v>0</v>
      </c>
      <c r="BG8" s="126">
        <f>BF8-MIN(BF8:BF11)</f>
        <v>0</v>
      </c>
      <c r="BH8" s="126">
        <f>BB8/BB12*1000+BC8/BC12*100+BG8/BG12*10+BD8/BD12</f>
        <v>0</v>
      </c>
      <c r="BI8" s="126">
        <f>BH8/BH12</f>
        <v>0</v>
      </c>
      <c r="BS8" s="21"/>
      <c r="BT8" s="21"/>
      <c r="BU8" s="21"/>
      <c r="BZ8" s="21"/>
      <c r="CA8" s="21"/>
      <c r="CB8" s="21"/>
      <c r="CC8" s="21"/>
      <c r="CD8" s="112"/>
      <c r="CE8" s="112"/>
      <c r="CF8" s="21"/>
      <c r="CG8" s="21"/>
      <c r="CH8" s="21"/>
      <c r="CI8" s="21"/>
      <c r="CJ8" s="21"/>
      <c r="CL8" s="112"/>
      <c r="CM8" s="21"/>
      <c r="CN8" s="21"/>
      <c r="CO8" s="21"/>
      <c r="CP8" s="21"/>
      <c r="CQ8" s="21"/>
    </row>
    <row r="9" spans="1:95" x14ac:dyDescent="0.25">
      <c r="A9" s="16">
        <v>3</v>
      </c>
      <c r="B9" s="17" t="str" cm="1">
        <f t="array" ref="B9">INDEX(T,18+INT(MOD(R9-1,7)),lang)</f>
        <v>Fri</v>
      </c>
      <c r="C9" s="18" t="str" cm="1">
        <f t="array" ref="C9">INDEX(T,24+MONTH(R9),lang) &amp; " " &amp; DAY(R9) &amp; ", " &amp; YEAR(R9)</f>
        <v>Jun 12, 2026</v>
      </c>
      <c r="D9" s="120">
        <f t="shared" si="7"/>
        <v>0.83333333333333337</v>
      </c>
      <c r="E9" s="78" t="str">
        <f>AE14</f>
        <v>Canada</v>
      </c>
      <c r="F9" s="19">
        <v>1</v>
      </c>
      <c r="G9" s="20">
        <v>1</v>
      </c>
      <c r="H9" s="80" t="str">
        <f>AE15</f>
        <v>Bosnia and Herzegovina</v>
      </c>
      <c r="J9" s="30" t="str">
        <f>VLOOKUP(1,AD8:AN11,2,FALSE)</f>
        <v>Mexico</v>
      </c>
      <c r="K9" s="31">
        <f>L9+M9+N9</f>
        <v>3</v>
      </c>
      <c r="L9" s="31">
        <f>VLOOKUP(1,AD8:AN11,3,FALSE)</f>
        <v>3</v>
      </c>
      <c r="M9" s="31">
        <f>VLOOKUP(1,AD8:AN11,4,FALSE)</f>
        <v>0</v>
      </c>
      <c r="N9" s="31">
        <f>VLOOKUP(1,AD8:AN11,5,FALSE)</f>
        <v>0</v>
      </c>
      <c r="O9" s="31" t="str">
        <f>VLOOKUP(1,AD8:AN11,6,FALSE) &amp; " - " &amp; VLOOKUP(1,AD8:AN11,7,FALSE)</f>
        <v>6 - 0</v>
      </c>
      <c r="P9" s="32">
        <f>L9*3+M9</f>
        <v>9</v>
      </c>
      <c r="R9" s="123">
        <f>DATE(2026,6,12)+TIME(8,0,0)+gmt_delta</f>
        <v>46185.833333333336</v>
      </c>
      <c r="S9" s="127" t="str">
        <f t="shared" si="1"/>
        <v>Canada_draw</v>
      </c>
      <c r="T9" s="127" t="str">
        <f t="shared" si="2"/>
        <v>Bosnia and Herzegovina_draw</v>
      </c>
      <c r="U9" s="123">
        <f t="shared" si="8"/>
        <v>1</v>
      </c>
      <c r="V9" s="123">
        <f t="shared" si="3"/>
        <v>1</v>
      </c>
      <c r="W9" s="123">
        <f t="shared" si="4"/>
        <v>1</v>
      </c>
      <c r="X9" s="123">
        <f t="shared" si="9"/>
        <v>1</v>
      </c>
      <c r="Y9" s="123">
        <f t="shared" si="10"/>
        <v>1</v>
      </c>
      <c r="Z9" s="123">
        <f t="shared" si="11"/>
        <v>1</v>
      </c>
      <c r="AA9" s="123">
        <f t="shared" si="5"/>
        <v>0</v>
      </c>
      <c r="AB9" s="123">
        <f t="shared" si="6"/>
        <v>0</v>
      </c>
      <c r="AD9" s="123">
        <f>COUNTIF(AR8:AR11,CONCATENATE("&gt;=",AR9))</f>
        <v>2</v>
      </c>
      <c r="AE9" s="124" t="str">
        <f>VLOOKUP("South Africa",T,lang,FALSE)</f>
        <v>South Africa</v>
      </c>
      <c r="AF9" s="123">
        <f>COUNTIF($S$7:$T$78,"=" &amp; AE9 &amp; "_win")</f>
        <v>1</v>
      </c>
      <c r="AG9" s="123">
        <f>COUNTIF($S$7:$T$78,"=" &amp; AE9 &amp; "_draw")</f>
        <v>1</v>
      </c>
      <c r="AH9" s="123">
        <f>COUNTIF($S$7:$T$78,"=" &amp; AE9 &amp; "_lose")</f>
        <v>1</v>
      </c>
      <c r="AI9" s="123">
        <f>SUMIF($E$7:$E$78,$AE9,$F$7:$F$78) + SUMIF($H$7:$H$78,$AE9,$G$7:$G$78)</f>
        <v>2</v>
      </c>
      <c r="AJ9" s="123">
        <f>SUMIF($E$7:$E$78,$AE9,$G$7:$G$78) + SUMIF($H$7:$H$78,$AE9,$F$7:$F$78)</f>
        <v>3</v>
      </c>
      <c r="AL9" s="123">
        <f>AI9-AJ9</f>
        <v>-1</v>
      </c>
      <c r="AM9" s="123">
        <f>AL9-AL12</f>
        <v>3</v>
      </c>
      <c r="AN9" s="123">
        <f>AF9*3+AG9</f>
        <v>4</v>
      </c>
      <c r="AO9" s="123">
        <f>AN9/AN12*10+BA9</f>
        <v>4</v>
      </c>
      <c r="AP9" s="123">
        <f>AO9*10000000+BI9*100+AM9/AM12*10+AI9/AI12*1++IF(AQ9=0,ROW(),AQ9)/2000000</f>
        <v>40000003.013701878</v>
      </c>
      <c r="AQ9" s="126">
        <f>VLOOKUP(AE9,db_fifarank,2,FALSE)</f>
        <v>1429.73</v>
      </c>
      <c r="AR9" s="125">
        <f>AP9/AP12</f>
        <v>0.44444442386141864</v>
      </c>
      <c r="AS9" s="125" t="str">
        <f>IF(SUM(AF8:AH11)=12,J10,"2A")</f>
        <v>South Africa</v>
      </c>
      <c r="AT9" s="126" cm="1">
        <f t="array" ref="AT9">SUMPRODUCT(($S$7:$S$78=AE9&amp;"_win")*($U$7:$U$78))+SUMPRODUCT(($T$7:$T$78=AE9&amp;"_win")*($U$7:$U$78))</f>
        <v>0</v>
      </c>
      <c r="AU9" s="126" cm="1">
        <f t="array" ref="AU9">SUMPRODUCT(($S$7:$S$78=AE9&amp;"_draw")*($U$7:$U$78))+SUMPRODUCT(($T$7:$T$78=AE9&amp;"_draw")*($U$7:$U$78))</f>
        <v>0</v>
      </c>
      <c r="AV9" s="126" cm="1">
        <f t="array" ref="AV9">SUMPRODUCT(($E$7:$E$78=AE9)*($U$7:$U$78)*($F$7:$F$78))+SUMPRODUCT(($H$7:$H$78=AE9)*($U$7:$U$78)*($G$7:$G$78))</f>
        <v>0</v>
      </c>
      <c r="AW9" s="126" cm="1">
        <f t="array" ref="AW9">SUMPRODUCT(($E$7:$E$78=AE9)*($U$7:$U$78)*($G$7:$G$78))+SUMPRODUCT(($H$7:$H$78=AE9)*($U$7:$U$78)*($F$7:$F$78))</f>
        <v>0</v>
      </c>
      <c r="AX9" s="126">
        <f>AV9-AW9</f>
        <v>0</v>
      </c>
      <c r="AY9" s="126">
        <f>AX9-MIN(AX8:AX11)</f>
        <v>0</v>
      </c>
      <c r="AZ9" s="126">
        <f>AT9/AT12*1000+AU9/AU12*100+AY9/AY12*10+AV9/AV12</f>
        <v>0</v>
      </c>
      <c r="BA9" s="126">
        <f>AZ9/AZ12</f>
        <v>0</v>
      </c>
      <c r="BB9" s="126" cm="1">
        <f t="array" ref="BB9">SUMPRODUCT(($S$7:$S$78=AE9&amp;"_win")*($X$7:$X$78))+SUMPRODUCT(($T$7:$T$78=AE9&amp;"_win")*($X$7:$X$78))</f>
        <v>0</v>
      </c>
      <c r="BC9" s="126" cm="1">
        <f t="array" ref="BC9">SUMPRODUCT(($S$7:$S$78=AE9&amp;"_draw")*($X$7:$X$78))+SUMPRODUCT(($T$7:$T$78=AE9&amp;"_draw")*($X$7:$X$78))</f>
        <v>0</v>
      </c>
      <c r="BD9" s="126" cm="1">
        <f t="array" ref="BD9">SUMPRODUCT(($E$7:$E$78=AE9)*($X$7:$X$78)*($F$7:$F$78))+SUMPRODUCT(($H$7:$H$78=AE9)*($X$7:$X$78)*($G$7:$G$78))</f>
        <v>0</v>
      </c>
      <c r="BE9" s="126" cm="1">
        <f t="array" ref="BE9">SUMPRODUCT(($E$7:$E$78=AE9)*($X$7:$X$78)*($G$7:$G$78))+SUMPRODUCT(($H$7:$H$78=AE9)*($X$7:$X$78)*($F$7:$F$78))</f>
        <v>0</v>
      </c>
      <c r="BF9" s="126">
        <f>BD9-BE9</f>
        <v>0</v>
      </c>
      <c r="BG9" s="126">
        <f>BF9-MIN(BF8:BF11)</f>
        <v>0</v>
      </c>
      <c r="BH9" s="126">
        <f>BB9/BB12*1000+BC9/BC12*100+BG9/BG12*10+BD9/BD12</f>
        <v>0</v>
      </c>
      <c r="BI9" s="126">
        <f>BH9/BH12</f>
        <v>0</v>
      </c>
      <c r="BK9" s="21" t="str" cm="1">
        <f t="array" ref="BK9">INDEX(T,24+MONTH(BP9),lang) &amp; " " &amp; DAY(BP9) &amp; ", " &amp; YEAR(BP9) &amp; "   " &amp; (IF(HOUR(BP9)&lt;10,0,"")&amp;HOUR(BP9)) &amp; ":" &amp;  (IF(MINUTE(BP9)&lt;10,0,"")&amp;MINUTE(BP9))</f>
        <v>Jun 29, 2026   21:30</v>
      </c>
      <c r="BL9" s="21"/>
      <c r="BM9" s="21"/>
      <c r="BN9" s="21"/>
      <c r="BO9" s="110"/>
      <c r="BP9" s="112">
        <f>DATE(2026,6,29)+TIME(9,30,0)+gmt_delta</f>
        <v>46202.895833333336</v>
      </c>
      <c r="BQ9" s="112"/>
      <c r="BR9" s="21"/>
      <c r="BS9" s="21"/>
      <c r="BT9" s="21"/>
      <c r="BU9" s="21"/>
      <c r="BV9" s="21"/>
      <c r="BW9" s="112"/>
      <c r="BX9" s="112"/>
      <c r="BY9" s="21"/>
      <c r="BZ9" s="21"/>
      <c r="CA9" s="21"/>
      <c r="CB9" s="21"/>
      <c r="CC9" s="21"/>
      <c r="CD9" s="112"/>
      <c r="CE9" s="112"/>
      <c r="CF9" s="21"/>
      <c r="CG9" s="21"/>
      <c r="CH9" s="21"/>
      <c r="CI9" s="21"/>
      <c r="CJ9" s="21"/>
      <c r="CL9" s="112"/>
      <c r="CM9" s="21"/>
      <c r="CN9" s="21"/>
      <c r="CO9" s="21"/>
      <c r="CP9" s="21"/>
      <c r="CQ9" s="21"/>
    </row>
    <row r="10" spans="1:95" x14ac:dyDescent="0.25">
      <c r="A10" s="16">
        <v>4</v>
      </c>
      <c r="B10" s="17" t="str" cm="1">
        <f t="array" ref="B10">INDEX(T,18+INT(MOD(R10-1,7)),lang)</f>
        <v>Sat</v>
      </c>
      <c r="C10" s="18" t="str" cm="1">
        <f t="array" ref="C10">INDEX(T,24+MONTH(R10),lang) &amp; " " &amp; DAY(R10) &amp; ", " &amp; YEAR(R10)</f>
        <v>Jun 13, 2026</v>
      </c>
      <c r="D10" s="120">
        <f t="shared" si="7"/>
        <v>8.3333333333333329E-2</v>
      </c>
      <c r="E10" s="78" t="str">
        <f>AE26</f>
        <v>United States</v>
      </c>
      <c r="F10" s="19">
        <v>4</v>
      </c>
      <c r="G10" s="20">
        <v>1</v>
      </c>
      <c r="H10" s="80" t="str">
        <f>AE27</f>
        <v>Paraguay</v>
      </c>
      <c r="J10" s="33" t="str">
        <f>VLOOKUP(2,AD8:AN11,2,FALSE)</f>
        <v>South Africa</v>
      </c>
      <c r="K10" s="23">
        <f>L10+M10+N10</f>
        <v>3</v>
      </c>
      <c r="L10" s="23">
        <f>VLOOKUP(2,AD8:AN11,3,FALSE)</f>
        <v>1</v>
      </c>
      <c r="M10" s="23">
        <f>VLOOKUP(2,AD8:AN11,4,FALSE)</f>
        <v>1</v>
      </c>
      <c r="N10" s="23">
        <f>VLOOKUP(2,AD8:AN11,5,FALSE)</f>
        <v>1</v>
      </c>
      <c r="O10" s="23" t="str">
        <f>VLOOKUP(2,AD8:AN11,6,FALSE) &amp; " - " &amp; VLOOKUP(2,AD8:AN11,7,FALSE)</f>
        <v>2 - 3</v>
      </c>
      <c r="P10" s="34">
        <f>L10*3+M10</f>
        <v>4</v>
      </c>
      <c r="R10" s="123">
        <f>DATE(2026,6,12)+TIME(14,0,0)+gmt_delta</f>
        <v>46186.083333333336</v>
      </c>
      <c r="S10" s="127" t="str">
        <f t="shared" si="1"/>
        <v>United States_win</v>
      </c>
      <c r="T10" s="127" t="str">
        <f t="shared" si="2"/>
        <v>Paraguay_lose</v>
      </c>
      <c r="U10" s="123">
        <f t="shared" si="8"/>
        <v>0</v>
      </c>
      <c r="V10" s="123">
        <f t="shared" si="3"/>
        <v>0</v>
      </c>
      <c r="W10" s="123">
        <f t="shared" si="4"/>
        <v>0</v>
      </c>
      <c r="X10" s="123">
        <f t="shared" si="9"/>
        <v>0</v>
      </c>
      <c r="Y10" s="123">
        <f t="shared" si="10"/>
        <v>0</v>
      </c>
      <c r="Z10" s="123">
        <f t="shared" si="11"/>
        <v>0</v>
      </c>
      <c r="AA10" s="123">
        <f t="shared" si="5"/>
        <v>0</v>
      </c>
      <c r="AB10" s="123">
        <f t="shared" si="6"/>
        <v>1</v>
      </c>
      <c r="AD10" s="123">
        <f>COUNTIF(AR8:AR11,CONCATENATE("&gt;=",AR10))</f>
        <v>3</v>
      </c>
      <c r="AE10" s="124" t="str">
        <f>VLOOKUP("Korea Republic",T,lang,FALSE)</f>
        <v>Korea Republic</v>
      </c>
      <c r="AF10" s="123">
        <f>COUNTIF($S$7:$T$78,"=" &amp; AE10 &amp; "_win")</f>
        <v>1</v>
      </c>
      <c r="AG10" s="123">
        <f>COUNTIF($S$7:$T$78,"=" &amp; AE10 &amp; "_draw")</f>
        <v>0</v>
      </c>
      <c r="AH10" s="123">
        <f>COUNTIF($S$7:$T$78,"=" &amp; AE10 &amp; "_lose")</f>
        <v>2</v>
      </c>
      <c r="AI10" s="123">
        <f>SUMIF($E$7:$E$78,$AE10,$F$7:$F$78) + SUMIF($H$7:$H$78,$AE10,$G$7:$G$78)</f>
        <v>2</v>
      </c>
      <c r="AJ10" s="123">
        <f>SUMIF($E$7:$E$78,$AE10,$G$7:$G$78) + SUMIF($H$7:$H$78,$AE10,$F$7:$F$78)</f>
        <v>3</v>
      </c>
      <c r="AL10" s="123">
        <f>AI10-AJ10</f>
        <v>-1</v>
      </c>
      <c r="AM10" s="123">
        <f>AL10-AL12</f>
        <v>3</v>
      </c>
      <c r="AN10" s="123">
        <f>AF10*3+AG10</f>
        <v>3</v>
      </c>
      <c r="AO10" s="123">
        <f>AN10/AN12*10+BA10</f>
        <v>3</v>
      </c>
      <c r="AP10" s="123">
        <f>AO10*10000000+BI10*100+AM10/AM12*10+AI10/AI12*1++IF(AQ10=0,ROW(),AQ10)/2000000</f>
        <v>30000003.013781343</v>
      </c>
      <c r="AQ10" s="126">
        <f>VLOOKUP(AE10,db_fifarank,2,FALSE)</f>
        <v>1588.66</v>
      </c>
      <c r="AR10" s="125">
        <f>AP10/AP12</f>
        <v>0.33333332626834</v>
      </c>
      <c r="AT10" s="126" cm="1">
        <f t="array" ref="AT10">SUMPRODUCT(($S$7:$S$78=AE10&amp;"_win")*($U$7:$U$78))+SUMPRODUCT(($T$7:$T$78=AE10&amp;"_win")*($U$7:$U$78))</f>
        <v>0</v>
      </c>
      <c r="AU10" s="126" cm="1">
        <f t="array" ref="AU10">SUMPRODUCT(($S$7:$S$78=AE10&amp;"_draw")*($U$7:$U$78))+SUMPRODUCT(($T$7:$T$78=AE10&amp;"_draw")*($U$7:$U$78))</f>
        <v>0</v>
      </c>
      <c r="AV10" s="126" cm="1">
        <f t="array" ref="AV10">SUMPRODUCT(($E$7:$E$78=AE10)*($U$7:$U$78)*($F$7:$F$78))+SUMPRODUCT(($H$7:$H$78=AE10)*($U$7:$U$78)*($G$7:$G$78))</f>
        <v>0</v>
      </c>
      <c r="AW10" s="126" cm="1">
        <f t="array" ref="AW10">SUMPRODUCT(($E$7:$E$78=AE10)*($U$7:$U$78)*($G$7:$G$78))+SUMPRODUCT(($H$7:$H$78=AE10)*($U$7:$U$78)*($F$7:$F$78))</f>
        <v>0</v>
      </c>
      <c r="AX10" s="126">
        <f>AV10-AW10</f>
        <v>0</v>
      </c>
      <c r="AY10" s="126">
        <f>AX10-MIN(AX8:AX11)</f>
        <v>0</v>
      </c>
      <c r="AZ10" s="126">
        <f>AT10/AT12*1000+AU10/AU12*100+AY10/AY12*10+AV10/AV12</f>
        <v>0</v>
      </c>
      <c r="BA10" s="126">
        <f>AZ10/AZ12</f>
        <v>0</v>
      </c>
      <c r="BB10" s="126" cm="1">
        <f t="array" ref="BB10">SUMPRODUCT(($S$7:$S$78=AE10&amp;"_win")*($X$7:$X$78))+SUMPRODUCT(($T$7:$T$78=AE10&amp;"_win")*($X$7:$X$78))</f>
        <v>0</v>
      </c>
      <c r="BC10" s="126" cm="1">
        <f t="array" ref="BC10">SUMPRODUCT(($S$7:$S$78=AE10&amp;"_draw")*($X$7:$X$78))+SUMPRODUCT(($T$7:$T$78=AE10&amp;"_draw")*($X$7:$X$78))</f>
        <v>0</v>
      </c>
      <c r="BD10" s="126" cm="1">
        <f t="array" ref="BD10">SUMPRODUCT(($E$7:$E$78=AE10)*($X$7:$X$78)*($F$7:$F$78))+SUMPRODUCT(($H$7:$H$78=AE10)*($X$7:$X$78)*($G$7:$G$78))</f>
        <v>0</v>
      </c>
      <c r="BE10" s="126" cm="1">
        <f t="array" ref="BE10">SUMPRODUCT(($E$7:$E$78=AE10)*($X$7:$X$78)*($G$7:$G$78))+SUMPRODUCT(($H$7:$H$78=AE10)*($X$7:$X$78)*($F$7:$F$78))</f>
        <v>0</v>
      </c>
      <c r="BF10" s="126">
        <f>BD10-BE10</f>
        <v>0</v>
      </c>
      <c r="BG10" s="126">
        <f>BF10-MIN(BF8:BF11)</f>
        <v>0</v>
      </c>
      <c r="BH10" s="126">
        <f>BB10/BB12*1000+BC10/BC12*100+BG10/BG12*10+BD10/BD12</f>
        <v>0</v>
      </c>
      <c r="BI10" s="126">
        <f>BH10/BH12</f>
        <v>0</v>
      </c>
      <c r="BK10" s="131">
        <v>74</v>
      </c>
      <c r="BL10" s="24" t="str">
        <f>AS32</f>
        <v>Germany</v>
      </c>
      <c r="BM10" s="61">
        <v>1</v>
      </c>
      <c r="BN10" s="63">
        <v>1</v>
      </c>
      <c r="BO10" s="25">
        <v>3</v>
      </c>
      <c r="BP10" s="112">
        <f>IF(OR(BM10="",BM11="",AND(BN10="",BN11&lt;&gt;""),AND(BN11="",BN10&lt;&gt;""),AND(BO10="",BO11&lt;&gt;""),AND(BO11="",BO10&lt;&gt;"")),"",BM10*1000+BN10*10+BO10)</f>
        <v>1013</v>
      </c>
      <c r="BQ10" s="112"/>
      <c r="BR10" s="21"/>
      <c r="BS10" s="21"/>
      <c r="BT10" s="21"/>
      <c r="BU10" s="21"/>
      <c r="BV10" s="21"/>
      <c r="BW10" s="112"/>
      <c r="BX10" s="112"/>
      <c r="BY10" s="21"/>
      <c r="BZ10" s="21"/>
      <c r="CA10" s="21"/>
      <c r="CB10" s="21"/>
      <c r="CC10" s="21"/>
      <c r="CD10" s="112"/>
      <c r="CE10" s="112"/>
      <c r="CF10" s="21"/>
      <c r="CG10" s="21"/>
      <c r="CH10" s="21"/>
      <c r="CI10" s="21"/>
      <c r="CJ10" s="21"/>
      <c r="CL10" s="112"/>
      <c r="CM10" s="21"/>
      <c r="CN10" s="21"/>
      <c r="CO10" s="21"/>
      <c r="CP10" s="21"/>
      <c r="CQ10" s="21"/>
    </row>
    <row r="11" spans="1:95" ht="15" customHeight="1" x14ac:dyDescent="0.25">
      <c r="A11" s="16">
        <v>5</v>
      </c>
      <c r="B11" s="17" t="str" cm="1">
        <f t="array" ref="B11">INDEX(T,18+INT(MOD(R11-1,7)),lang)</f>
        <v>Sun</v>
      </c>
      <c r="C11" s="18" t="str" cm="1">
        <f t="array" ref="C11">INDEX(T,24+MONTH(R11),lang) &amp; " " &amp; DAY(R11) &amp; ", " &amp; YEAR(R11)</f>
        <v>Jun 14, 2026</v>
      </c>
      <c r="D11" s="120">
        <f t="shared" si="7"/>
        <v>8.3333333333333329E-2</v>
      </c>
      <c r="E11" s="78" t="str">
        <f>AE22</f>
        <v>Haiti</v>
      </c>
      <c r="F11" s="19">
        <v>0</v>
      </c>
      <c r="G11" s="20">
        <v>1</v>
      </c>
      <c r="H11" s="80" t="str">
        <f>AE23</f>
        <v>Scotland</v>
      </c>
      <c r="J11" s="33" t="str">
        <f>VLOOKUP(3,AD8:AN11,2,FALSE)</f>
        <v>Korea Republic</v>
      </c>
      <c r="K11" s="23">
        <f>L11+M11+N11</f>
        <v>3</v>
      </c>
      <c r="L11" s="23">
        <f>VLOOKUP(3,AD8:AN11,3,FALSE)</f>
        <v>1</v>
      </c>
      <c r="M11" s="23">
        <f>VLOOKUP(3,AD8:AN11,4,FALSE)</f>
        <v>0</v>
      </c>
      <c r="N11" s="23">
        <f>VLOOKUP(3,AD8:AN11,5,FALSE)</f>
        <v>2</v>
      </c>
      <c r="O11" s="23" t="str">
        <f>VLOOKUP(3,AD8:AN11,6,FALSE) &amp; " - " &amp; VLOOKUP(3,AD8:AN11,7,FALSE)</f>
        <v>2 - 3</v>
      </c>
      <c r="P11" s="34">
        <f>L11*3+M11</f>
        <v>3</v>
      </c>
      <c r="R11" s="123">
        <f>DATE(2026,6,13)+TIME(14,0,0)+gmt_delta</f>
        <v>46187.083333333336</v>
      </c>
      <c r="S11" s="127" t="str">
        <f t="shared" si="1"/>
        <v>Haiti_lose</v>
      </c>
      <c r="T11" s="127" t="str">
        <f t="shared" si="2"/>
        <v>Scotland_win</v>
      </c>
      <c r="U11" s="123">
        <f t="shared" si="8"/>
        <v>0</v>
      </c>
      <c r="V11" s="123">
        <f t="shared" si="3"/>
        <v>0</v>
      </c>
      <c r="W11" s="123">
        <f t="shared" si="4"/>
        <v>0</v>
      </c>
      <c r="X11" s="123">
        <f t="shared" si="9"/>
        <v>0</v>
      </c>
      <c r="Y11" s="123">
        <f t="shared" si="10"/>
        <v>0</v>
      </c>
      <c r="Z11" s="123">
        <f t="shared" si="11"/>
        <v>0</v>
      </c>
      <c r="AA11" s="123">
        <f t="shared" si="5"/>
        <v>0</v>
      </c>
      <c r="AB11" s="123">
        <f t="shared" si="6"/>
        <v>-1</v>
      </c>
      <c r="AD11" s="123">
        <f>COUNTIF(AR8:AR11,CONCATENATE("&gt;=",AR11))</f>
        <v>4</v>
      </c>
      <c r="AE11" s="124" t="str">
        <f>VLOOKUP("Czech Republic",T,lang,FALSE)</f>
        <v>Czech Republic</v>
      </c>
      <c r="AF11" s="123">
        <f>COUNTIF($S$7:$T$78,"=" &amp; AE11 &amp; "_win")</f>
        <v>0</v>
      </c>
      <c r="AG11" s="123">
        <f>COUNTIF($S$7:$T$78,"=" &amp; AE11 &amp; "_draw")</f>
        <v>1</v>
      </c>
      <c r="AH11" s="123">
        <f>COUNTIF($S$7:$T$78,"=" &amp; AE11 &amp; "_lose")</f>
        <v>2</v>
      </c>
      <c r="AI11" s="123">
        <f>SUMIF($E$7:$E$78,$AE11,$F$7:$F$78) + SUMIF($H$7:$H$78,$AE11,$G$7:$G$78)</f>
        <v>2</v>
      </c>
      <c r="AJ11" s="123">
        <f>SUMIF($E$7:$E$78,$AE11,$G$7:$G$78) + SUMIF($H$7:$H$78,$AE11,$F$7:$F$78)</f>
        <v>6</v>
      </c>
      <c r="AL11" s="123">
        <f>AI11-AJ11</f>
        <v>-4</v>
      </c>
      <c r="AM11" s="123">
        <f>AL11-AL12</f>
        <v>0</v>
      </c>
      <c r="AN11" s="123">
        <f>AF11*3+AG11</f>
        <v>1</v>
      </c>
      <c r="AO11" s="123">
        <f>AN11/AN12*10+BA11</f>
        <v>1</v>
      </c>
      <c r="AP11" s="123">
        <f>AO11*10000000+BI11*100+AM11/AM12*10+AI11/AI12*1++IF(AQ11=0,ROW(),AQ11)/2000000</f>
        <v>10000000.286464976</v>
      </c>
      <c r="AQ11" s="126">
        <f>VLOOKUP(AE11,db_fifarank,2,FALSE)</f>
        <v>1501.38</v>
      </c>
      <c r="AR11" s="125">
        <f>AP11/AP12</f>
        <v>0.11111110077690536</v>
      </c>
      <c r="AT11" s="126" cm="1">
        <f t="array" ref="AT11">SUMPRODUCT(($S$7:$S$78=AE11&amp;"_win")*($U$7:$U$78))+SUMPRODUCT(($T$7:$T$78=AE11&amp;"_win")*($U$7:$U$78))</f>
        <v>0</v>
      </c>
      <c r="AU11" s="126" cm="1">
        <f t="array" ref="AU11">SUMPRODUCT(($S$7:$S$78=AE11&amp;"_draw")*($U$7:$U$78))+SUMPRODUCT(($T$7:$T$78=AE11&amp;"_draw")*($U$7:$U$78))</f>
        <v>0</v>
      </c>
      <c r="AV11" s="126" cm="1">
        <f t="array" ref="AV11">SUMPRODUCT(($E$7:$E$78=AE11)*($U$7:$U$78)*($F$7:$F$78))+SUMPRODUCT(($H$7:$H$78=AE11)*($U$7:$U$78)*($G$7:$G$78))</f>
        <v>0</v>
      </c>
      <c r="AW11" s="126" cm="1">
        <f t="array" ref="AW11">SUMPRODUCT(($E$7:$E$78=AE11)*($U$7:$U$78)*($G$7:$G$78))+SUMPRODUCT(($H$7:$H$78=AE11)*($U$7:$U$78)*($F$7:$F$78))</f>
        <v>0</v>
      </c>
      <c r="AX11" s="126">
        <f>AV11-AW11</f>
        <v>0</v>
      </c>
      <c r="AY11" s="126">
        <f>AX11-MIN(AX8:AX11)</f>
        <v>0</v>
      </c>
      <c r="AZ11" s="126">
        <f>AT11/AT12*1000+AU11/AU12*100+AY11/AY12*10+AV11/AV12</f>
        <v>0</v>
      </c>
      <c r="BA11" s="126">
        <f>AZ11/AZ12</f>
        <v>0</v>
      </c>
      <c r="BB11" s="126" cm="1">
        <f t="array" ref="BB11">SUMPRODUCT(($S$7:$S$78=AE11&amp;"_win")*($X$7:$X$78))+SUMPRODUCT(($T$7:$T$78=AE11&amp;"_win")*($X$7:$X$78))</f>
        <v>0</v>
      </c>
      <c r="BC11" s="126" cm="1">
        <f t="array" ref="BC11">SUMPRODUCT(($S$7:$S$78=AE11&amp;"_draw")*($X$7:$X$78))+SUMPRODUCT(($T$7:$T$78=AE11&amp;"_draw")*($X$7:$X$78))</f>
        <v>0</v>
      </c>
      <c r="BD11" s="126" cm="1">
        <f t="array" ref="BD11">SUMPRODUCT(($E$7:$E$78=AE11)*($X$7:$X$78)*($F$7:$F$78))+SUMPRODUCT(($H$7:$H$78=AE11)*($X$7:$X$78)*($G$7:$G$78))</f>
        <v>0</v>
      </c>
      <c r="BE11" s="126" cm="1">
        <f t="array" ref="BE11">SUMPRODUCT(($E$7:$E$78=AE11)*($X$7:$X$78)*($G$7:$G$78))+SUMPRODUCT(($H$7:$H$78=AE11)*($X$7:$X$78)*($F$7:$F$78))</f>
        <v>0</v>
      </c>
      <c r="BF11" s="126">
        <f>BD11-BE11</f>
        <v>0</v>
      </c>
      <c r="BG11" s="126">
        <f>BF11-MIN(BF8:BF11)</f>
        <v>0</v>
      </c>
      <c r="BH11" s="126">
        <f>BB11/BB12*1000+BC11/BC12*100+BG11/BG12*10+BD11/BD12</f>
        <v>0</v>
      </c>
      <c r="BI11" s="126">
        <f>BH11/BH12</f>
        <v>0</v>
      </c>
      <c r="BK11" s="132"/>
      <c r="BL11" s="26" t="str">
        <f>IF(group_round_completed,VLOOKUP('3rd places'!G3,AK80:AS91,9,FALSE),"3rd Group A/B/C/D/F")</f>
        <v>Paraguay</v>
      </c>
      <c r="BM11" s="62">
        <v>1</v>
      </c>
      <c r="BN11" s="64">
        <v>1</v>
      </c>
      <c r="BO11" s="27">
        <v>4</v>
      </c>
      <c r="BP11" s="113">
        <f>IF(BP10="","",BM11*1000+BN11*10+BO11)</f>
        <v>1014</v>
      </c>
      <c r="BQ11" s="112"/>
      <c r="BR11" s="21" t="str" cm="1">
        <f t="array" ref="BR11">INDEX(T,24+MONTH(BW11),lang) &amp; " " &amp; DAY(BW11) &amp; ", " &amp; YEAR(BW11) &amp; "   " &amp; (IF(HOUR(BW11)&lt;10,0,"")&amp;HOUR(BW11)) &amp; ":" &amp;  (IF(MINUTE(BW11)&lt;10,0,"")&amp;MINUTE(BW11))</f>
        <v>Jul 4, 2026   22:00</v>
      </c>
      <c r="BS11" s="21"/>
      <c r="BT11" s="21"/>
      <c r="BU11" s="21"/>
      <c r="BV11" s="28"/>
      <c r="BW11" s="112">
        <f>DATE(2026,7,4)+TIME(10,0,0)+gmt_delta</f>
        <v>46207.916666666664</v>
      </c>
      <c r="BX11" s="112"/>
      <c r="BY11" s="21"/>
      <c r="BZ11" s="21"/>
      <c r="CA11" s="21"/>
      <c r="CB11" s="21"/>
      <c r="CC11" s="21"/>
      <c r="CD11" s="112"/>
      <c r="CE11" s="112"/>
      <c r="CF11" s="21"/>
      <c r="CG11" s="21"/>
      <c r="CH11" s="21"/>
      <c r="CI11" s="21"/>
      <c r="CJ11" s="21"/>
      <c r="CL11" s="112"/>
      <c r="CM11" s="21"/>
      <c r="CN11" s="21"/>
      <c r="CO11" s="21"/>
      <c r="CP11" s="21"/>
      <c r="CQ11" s="21"/>
    </row>
    <row r="12" spans="1:95" x14ac:dyDescent="0.25">
      <c r="A12" s="16">
        <v>6</v>
      </c>
      <c r="B12" s="17" t="str" cm="1">
        <f t="array" ref="B12">INDEX(T,18+INT(MOD(R12-1,7)),lang)</f>
        <v>Sun</v>
      </c>
      <c r="C12" s="18" t="str" cm="1">
        <f t="array" ref="C12">INDEX(T,24+MONTH(R12),lang) &amp; " " &amp; DAY(R12) &amp; ", " &amp; YEAR(R12)</f>
        <v>Jun 14, 2026</v>
      </c>
      <c r="D12" s="120">
        <f t="shared" si="7"/>
        <v>0.20833333333333334</v>
      </c>
      <c r="E12" s="78" t="str">
        <f>AE28</f>
        <v>Australia</v>
      </c>
      <c r="F12" s="19">
        <v>2</v>
      </c>
      <c r="G12" s="20">
        <v>0</v>
      </c>
      <c r="H12" s="80" t="str">
        <f>AE29</f>
        <v>Turkey</v>
      </c>
      <c r="J12" s="35" t="str">
        <f>VLOOKUP(4,AD8:AN11,2,FALSE)</f>
        <v>Czech Republic</v>
      </c>
      <c r="K12" s="36">
        <f>L12+M12+N12</f>
        <v>3</v>
      </c>
      <c r="L12" s="36">
        <f>VLOOKUP(4,AD8:AN11,3,FALSE)</f>
        <v>0</v>
      </c>
      <c r="M12" s="36">
        <f>VLOOKUP(4,AD8:AN11,4,FALSE)</f>
        <v>1</v>
      </c>
      <c r="N12" s="36">
        <f>VLOOKUP(4,AD8:AN11,5,FALSE)</f>
        <v>2</v>
      </c>
      <c r="O12" s="36" t="str">
        <f>VLOOKUP(4,AD8:AN11,6,FALSE) &amp; " - " &amp; VLOOKUP(4,AD8:AN11,7,FALSE)</f>
        <v>2 - 6</v>
      </c>
      <c r="P12" s="37">
        <f>L12*3+M12</f>
        <v>1</v>
      </c>
      <c r="R12" s="123">
        <f>DATE(2026,6,13)+TIME(17,0,0)+gmt_delta</f>
        <v>46187.208333333336</v>
      </c>
      <c r="S12" s="127" t="str">
        <f t="shared" si="1"/>
        <v>Australia_win</v>
      </c>
      <c r="T12" s="127" t="str">
        <f t="shared" si="2"/>
        <v>Turkey_lose</v>
      </c>
      <c r="U12" s="123">
        <f t="shared" si="8"/>
        <v>0</v>
      </c>
      <c r="V12" s="123">
        <f t="shared" si="3"/>
        <v>0</v>
      </c>
      <c r="W12" s="123">
        <f t="shared" si="4"/>
        <v>0</v>
      </c>
      <c r="X12" s="123">
        <f t="shared" si="9"/>
        <v>0</v>
      </c>
      <c r="Y12" s="123">
        <f t="shared" si="10"/>
        <v>0</v>
      </c>
      <c r="Z12" s="123">
        <f t="shared" si="11"/>
        <v>0</v>
      </c>
      <c r="AA12" s="123">
        <f t="shared" si="5"/>
        <v>0</v>
      </c>
      <c r="AB12" s="123">
        <f t="shared" si="6"/>
        <v>1</v>
      </c>
      <c r="AF12" s="123">
        <f t="shared" ref="AF12:AH12" si="12">MAX(AF8:AF11)-MIN(AF8:AF11)+1</f>
        <v>4</v>
      </c>
      <c r="AG12" s="123">
        <f t="shared" si="12"/>
        <v>2</v>
      </c>
      <c r="AH12" s="123">
        <f t="shared" si="12"/>
        <v>3</v>
      </c>
      <c r="AI12" s="123">
        <f>MAX(AI8:AI11)+1</f>
        <v>7</v>
      </c>
      <c r="AL12" s="123">
        <f>MIN(AL8:AL11)</f>
        <v>-4</v>
      </c>
      <c r="AM12" s="123">
        <f>MAX(AM8:AM11)+1</f>
        <v>11</v>
      </c>
      <c r="AN12" s="123">
        <f>MAX(AN8:AN11)+1</f>
        <v>10</v>
      </c>
      <c r="AO12" s="123">
        <f>MAX(AO8:AO11)+1</f>
        <v>10</v>
      </c>
      <c r="AP12" s="123">
        <f>MAX(AP8:AP11)+1</f>
        <v>90000010.948892459</v>
      </c>
      <c r="AT12" s="126">
        <f>MAX(AT8:AT11)-MIN(AT8:AT11)+1</f>
        <v>1</v>
      </c>
      <c r="AU12" s="126">
        <f>MAX(AU8:AU11)-MIN(AU8:AU11)+1</f>
        <v>1</v>
      </c>
      <c r="AV12" s="126">
        <f>MAX(AV8:AV11)-MIN(AV8:AV11)+1</f>
        <v>1</v>
      </c>
      <c r="AW12" s="126">
        <f>MAX(AW8:AW11)-MIN(AW8:AW11)+1</f>
        <v>1</v>
      </c>
      <c r="AY12" s="126">
        <f>MAX(AY8:AY11)-MIN(AY8:AY11)+1</f>
        <v>1</v>
      </c>
      <c r="AZ12" s="126">
        <f>MAX(AZ8:AZ11)+1</f>
        <v>1</v>
      </c>
      <c r="BB12" s="126">
        <f>MAX(BB8:BB11)-MIN(BB8:BB11)+1</f>
        <v>1</v>
      </c>
      <c r="BC12" s="126">
        <f>MAX(BC8:BC11)-MIN(BC8:BC11)+1</f>
        <v>1</v>
      </c>
      <c r="BD12" s="126">
        <f>MAX(BD8:BD11)-MIN(BD8:BD11)+1</f>
        <v>1</v>
      </c>
      <c r="BE12" s="126">
        <f>MAX(BE8:BE11)-MIN(BE8:BE11)+1</f>
        <v>1</v>
      </c>
      <c r="BG12" s="126">
        <f>MAX(BG8:BG11)-MIN(BG8:BG11)+1</f>
        <v>1</v>
      </c>
      <c r="BH12" s="126">
        <f>MAX(BH8:BH11)+1</f>
        <v>1</v>
      </c>
      <c r="BK12" s="21"/>
      <c r="BL12" s="21"/>
      <c r="BM12" s="21"/>
      <c r="BN12" s="21"/>
      <c r="BO12" s="21"/>
      <c r="BP12" s="114"/>
      <c r="BQ12" s="112"/>
      <c r="BR12" s="131">
        <v>89</v>
      </c>
      <c r="BS12" s="24" t="str">
        <f>IF(BP10&gt;BP11,BL10,IF(BP10&lt;BP11,BL11,""))</f>
        <v>Paraguay</v>
      </c>
      <c r="BT12" s="61">
        <v>0</v>
      </c>
      <c r="BU12" s="63"/>
      <c r="BV12" s="25"/>
      <c r="BW12" s="112">
        <f>IF(OR(BT12="",BT13="",AND(BU12="",BU13&lt;&gt;""),AND(BU13="",BU12&lt;&gt;""),AND(BV12="",BV13&lt;&gt;""),AND(BV13="",BV12&lt;&gt;"")),"",BT12*1000+BU12*10+BV12)</f>
        <v>0</v>
      </c>
      <c r="BX12" s="112"/>
      <c r="BY12" s="21"/>
      <c r="BZ12" s="21"/>
      <c r="CA12" s="21"/>
      <c r="CB12" s="21"/>
      <c r="CC12" s="21"/>
      <c r="CD12" s="112"/>
      <c r="CE12" s="112"/>
      <c r="CF12" s="21"/>
      <c r="CG12" s="21"/>
      <c r="CH12" s="21"/>
      <c r="CI12" s="21"/>
      <c r="CJ12" s="21"/>
      <c r="CL12" s="112"/>
      <c r="CM12" s="21"/>
      <c r="CN12" s="21"/>
      <c r="CO12" s="21"/>
      <c r="CP12" s="21"/>
      <c r="CQ12" s="21"/>
    </row>
    <row r="13" spans="1:95" x14ac:dyDescent="0.25">
      <c r="A13" s="16">
        <v>7</v>
      </c>
      <c r="B13" s="17" t="str" cm="1">
        <f t="array" ref="B13">INDEX(T,18+INT(MOD(R13-1,7)),lang)</f>
        <v>Sat</v>
      </c>
      <c r="C13" s="18" t="str" cm="1">
        <f t="array" ref="C13">INDEX(T,24+MONTH(R13),lang) &amp; " " &amp; DAY(R13) &amp; ", " &amp; YEAR(R13)</f>
        <v>Jun 13, 2026</v>
      </c>
      <c r="D13" s="120">
        <f t="shared" si="7"/>
        <v>0.95833333333333337</v>
      </c>
      <c r="E13" s="78" t="str">
        <f>AE20</f>
        <v>Brazil</v>
      </c>
      <c r="F13" s="19">
        <v>1</v>
      </c>
      <c r="G13" s="20">
        <v>1</v>
      </c>
      <c r="H13" s="80" t="str">
        <f>AE21</f>
        <v>Morocco</v>
      </c>
      <c r="R13" s="123">
        <f>DATE(2026,6,13)+TIME(11,0,0)+gmt_delta</f>
        <v>46186.958333333336</v>
      </c>
      <c r="S13" s="127" t="str">
        <f t="shared" si="1"/>
        <v>Brazil_draw</v>
      </c>
      <c r="T13" s="127" t="str">
        <f t="shared" si="2"/>
        <v>Morocco_draw</v>
      </c>
      <c r="U13" s="123">
        <f t="shared" si="8"/>
        <v>1</v>
      </c>
      <c r="V13" s="123">
        <f t="shared" si="3"/>
        <v>1</v>
      </c>
      <c r="W13" s="123">
        <f t="shared" si="4"/>
        <v>1</v>
      </c>
      <c r="X13" s="123">
        <f t="shared" si="9"/>
        <v>1</v>
      </c>
      <c r="Y13" s="123">
        <f t="shared" si="10"/>
        <v>1</v>
      </c>
      <c r="Z13" s="123">
        <f t="shared" si="11"/>
        <v>1</v>
      </c>
      <c r="AA13" s="123">
        <f t="shared" si="5"/>
        <v>0</v>
      </c>
      <c r="AB13" s="123">
        <f t="shared" si="6"/>
        <v>0</v>
      </c>
      <c r="BK13" s="21" t="str" cm="1">
        <f t="array" ref="BK13">INDEX(T,24+MONTH(BP13),lang) &amp; " " &amp; DAY(BP13) &amp; ", " &amp; YEAR(BP13) &amp; "   " &amp; (IF(HOUR(BP13)&lt;10,0,"")&amp;HOUR(BP13)) &amp; ":" &amp;  (IF(MINUTE(BP13)&lt;10,0,"")&amp;MINUTE(BP13))</f>
        <v>Jun 30, 2026   22:00</v>
      </c>
      <c r="BL13" s="21"/>
      <c r="BM13" s="21"/>
      <c r="BN13" s="21"/>
      <c r="BO13" s="28"/>
      <c r="BP13" s="114">
        <f>DATE(2026,6,30)+TIME(10,0,0)+gmt_delta</f>
        <v>46203.916666666664</v>
      </c>
      <c r="BQ13" s="115"/>
      <c r="BR13" s="132"/>
      <c r="BS13" s="26" t="str">
        <f>IF(BP14&gt;BP15,BL14,IF(BP14&lt;BP15,BL15,""))</f>
        <v>France</v>
      </c>
      <c r="BT13" s="62">
        <v>1</v>
      </c>
      <c r="BU13" s="64"/>
      <c r="BV13" s="27"/>
      <c r="BW13" s="113">
        <f>IF(BW12="","",BT13*1000+BU13*10+BV13)</f>
        <v>1000</v>
      </c>
      <c r="BX13" s="112"/>
      <c r="BY13" s="21"/>
      <c r="BZ13" s="21"/>
      <c r="CA13" s="21"/>
      <c r="CB13" s="21"/>
      <c r="CC13" s="21"/>
      <c r="CD13" s="112"/>
      <c r="CE13" s="112"/>
      <c r="CF13" s="21"/>
      <c r="CG13" s="21"/>
      <c r="CH13" s="21"/>
      <c r="CI13" s="21"/>
      <c r="CJ13" s="21"/>
      <c r="CL13" s="112"/>
      <c r="CM13" s="21"/>
      <c r="CN13" s="21"/>
      <c r="CO13" s="21"/>
      <c r="CP13" s="21"/>
      <c r="CQ13" s="21"/>
    </row>
    <row r="14" spans="1:95" x14ac:dyDescent="0.25">
      <c r="A14" s="16">
        <v>8</v>
      </c>
      <c r="B14" s="17" t="str" cm="1">
        <f t="array" ref="B14">INDEX(T,18+INT(MOD(R14-1,7)),lang)</f>
        <v>Sat</v>
      </c>
      <c r="C14" s="18" t="str" cm="1">
        <f t="array" ref="C14">INDEX(T,24+MONTH(R14),lang) &amp; " " &amp; DAY(R14) &amp; ", " &amp; YEAR(R14)</f>
        <v>Jun 13, 2026</v>
      </c>
      <c r="D14" s="120">
        <f t="shared" si="7"/>
        <v>0.83333333333333337</v>
      </c>
      <c r="E14" s="78" t="str">
        <f>AE16</f>
        <v>Qatar</v>
      </c>
      <c r="F14" s="19">
        <v>1</v>
      </c>
      <c r="G14" s="20">
        <v>1</v>
      </c>
      <c r="H14" s="80" t="str">
        <f>AE17</f>
        <v>Switzerland</v>
      </c>
      <c r="J14" s="38" t="str" cm="1">
        <f t="array" ref="J14">INDEX(T,9,lang) &amp; " " &amp; "B"</f>
        <v>Group B</v>
      </c>
      <c r="K14" s="94" t="str" cm="1">
        <f t="array" ref="K14">INDEX(T,10,lang)</f>
        <v>PL</v>
      </c>
      <c r="L14" s="94" t="str" cm="1">
        <f t="array" ref="L14">INDEX(T,11,lang)</f>
        <v>W</v>
      </c>
      <c r="M14" s="94" t="str" cm="1">
        <f t="array" ref="M14">INDEX(T,12,lang)</f>
        <v>DRAW</v>
      </c>
      <c r="N14" s="94" t="str" cm="1">
        <f t="array" ref="N14">INDEX(T,13,lang)</f>
        <v>L</v>
      </c>
      <c r="O14" s="94" t="str" cm="1">
        <f t="array" ref="O14">INDEX(T,14,lang)</f>
        <v>GF - GA</v>
      </c>
      <c r="P14" s="95" t="str" cm="1">
        <f t="array" ref="P14">INDEX(T,15,lang)</f>
        <v>PNT</v>
      </c>
      <c r="R14" s="123">
        <f>DATE(2026,6,13)+TIME(8,0,0)+gmt_delta</f>
        <v>46186.833333333336</v>
      </c>
      <c r="S14" s="127" t="str">
        <f t="shared" si="1"/>
        <v>Qatar_draw</v>
      </c>
      <c r="T14" s="127" t="str">
        <f t="shared" si="2"/>
        <v>Switzerland_draw</v>
      </c>
      <c r="U14" s="123">
        <f t="shared" si="8"/>
        <v>0</v>
      </c>
      <c r="V14" s="123">
        <f t="shared" si="3"/>
        <v>0</v>
      </c>
      <c r="W14" s="123">
        <f t="shared" si="4"/>
        <v>0</v>
      </c>
      <c r="X14" s="123">
        <f t="shared" si="9"/>
        <v>0</v>
      </c>
      <c r="Y14" s="123">
        <f t="shared" si="10"/>
        <v>0</v>
      </c>
      <c r="Z14" s="123">
        <f t="shared" si="11"/>
        <v>0</v>
      </c>
      <c r="AA14" s="123">
        <f t="shared" si="5"/>
        <v>0</v>
      </c>
      <c r="AB14" s="123">
        <f t="shared" si="6"/>
        <v>0</v>
      </c>
      <c r="AD14" s="123">
        <f>COUNTIF(AR14:AR17,CONCATENATE("&gt;=",AR14))</f>
        <v>2</v>
      </c>
      <c r="AE14" s="124" t="str">
        <f>VLOOKUP("Canada",T,lang,FALSE)</f>
        <v>Canada</v>
      </c>
      <c r="AF14" s="123">
        <f>COUNTIF($S$7:$T$78,"=" &amp; AE14 &amp; "_win")</f>
        <v>1</v>
      </c>
      <c r="AG14" s="123">
        <f>COUNTIF($S$7:$T$78,"=" &amp; AE14 &amp; "_draw")</f>
        <v>1</v>
      </c>
      <c r="AH14" s="123">
        <f>COUNTIF($S$7:$T$78,"=" &amp; AE14 &amp; "_lose")</f>
        <v>1</v>
      </c>
      <c r="AI14" s="123">
        <f>SUMIF($E$7:$E$78,$AE14,$F$7:$F$78) + SUMIF($H$7:$H$78,$AE14,$G$7:$G$78)</f>
        <v>8</v>
      </c>
      <c r="AJ14" s="123">
        <f>SUMIF($E$7:$E$78,$AE14,$G$7:$G$78) + SUMIF($H$7:$H$78,$AE14,$F$7:$F$78)</f>
        <v>3</v>
      </c>
      <c r="AL14" s="123">
        <f>AI14-AJ14</f>
        <v>5</v>
      </c>
      <c r="AM14" s="123">
        <f>AL14-AL18</f>
        <v>13</v>
      </c>
      <c r="AN14" s="123">
        <f>AF14*3+AG14</f>
        <v>4</v>
      </c>
      <c r="AO14" s="123">
        <f>AN14/AN18*10+BA14</f>
        <v>5.9805825242718447</v>
      </c>
      <c r="AP14" s="123">
        <f>AO14*10000000+BI14*100+AM14/AM18*10+AI14/AI18*1++IF(AQ14=0,ROW(),AQ14)/2000000</f>
        <v>59805933.476352282</v>
      </c>
      <c r="AQ14" s="126">
        <f>VLOOKUP(AE14,db_fifarank,2,FALSE)</f>
        <v>1556.48</v>
      </c>
      <c r="AR14" s="125">
        <f>AP14/AP18</f>
        <v>0.68349630173879239</v>
      </c>
      <c r="AS14" s="125" t="str">
        <f>IF(SUM(AF14:AH17)=12,J15,"1B")</f>
        <v>Switzerland</v>
      </c>
      <c r="AT14" s="126" cm="1">
        <f t="array" ref="AT14">SUMPRODUCT(($S$7:$S$78=AE14&amp;"_win")*($U$7:$U$78))+SUMPRODUCT(($T$7:$T$78=AE14&amp;"_win")*($U$7:$U$78))</f>
        <v>0</v>
      </c>
      <c r="AU14" s="126" cm="1">
        <f t="array" ref="AU14">SUMPRODUCT(($S$7:$S$78=AE14&amp;"_draw")*($U$7:$U$78))+SUMPRODUCT(($T$7:$T$78=AE14&amp;"_draw")*($U$7:$U$78))</f>
        <v>1</v>
      </c>
      <c r="AV14" s="126" cm="1">
        <f t="array" ref="AV14">SUMPRODUCT(($E$7:$E$78=AE14)*($U$7:$U$78)*($F$7:$F$78))+SUMPRODUCT(($H$7:$H$78=AE14)*($U$7:$U$78)*($G$7:$G$78))</f>
        <v>1</v>
      </c>
      <c r="AW14" s="126" cm="1">
        <f t="array" ref="AW14">SUMPRODUCT(($E$7:$E$78=AE14)*($U$7:$U$78)*($G$7:$G$78))+SUMPRODUCT(($H$7:$H$78=AE14)*($U$7:$U$78)*($F$7:$F$78))</f>
        <v>1</v>
      </c>
      <c r="AX14" s="126">
        <f>AV14-AW14</f>
        <v>0</v>
      </c>
      <c r="AY14" s="126">
        <f>AX14-MIN(AX14:AX17)</f>
        <v>0</v>
      </c>
      <c r="AZ14" s="126">
        <f>AT14/AT18*1000+AU14/AU18*100+AY14/AY18*10+AV14/AV18</f>
        <v>50.5</v>
      </c>
      <c r="BA14" s="126">
        <f>AZ14/AZ18</f>
        <v>0.98058252427184467</v>
      </c>
      <c r="BB14" s="126" cm="1">
        <f t="array" ref="BB14">SUMPRODUCT(($S$7:$S$78=AE14&amp;"_win")*($X$7:$X$78))+SUMPRODUCT(($T$7:$T$78=AE14&amp;"_win")*($X$7:$X$78))</f>
        <v>0</v>
      </c>
      <c r="BC14" s="126" cm="1">
        <f t="array" ref="BC14">SUMPRODUCT(($S$7:$S$78=AE14&amp;"_draw")*($X$7:$X$78))+SUMPRODUCT(($T$7:$T$78=AE14&amp;"_draw")*($X$7:$X$78))</f>
        <v>1</v>
      </c>
      <c r="BD14" s="126" cm="1">
        <f t="array" ref="BD14">SUMPRODUCT(($E$7:$E$78=AE14)*($X$7:$X$78)*($F$7:$F$78))+SUMPRODUCT(($H$7:$H$78=AE14)*($X$7:$X$78)*($G$7:$G$78))</f>
        <v>1</v>
      </c>
      <c r="BE14" s="126" cm="1">
        <f t="array" ref="BE14">SUMPRODUCT(($E$7:$E$78=AE14)*($X$7:$X$78)*($G$7:$G$78))+SUMPRODUCT(($H$7:$H$78=AE14)*($X$7:$X$78)*($F$7:$F$78))</f>
        <v>1</v>
      </c>
      <c r="BF14" s="126">
        <f>BD14-BE14</f>
        <v>0</v>
      </c>
      <c r="BG14" s="126">
        <f>BF14-MIN(BF14:BF17)</f>
        <v>0</v>
      </c>
      <c r="BH14" s="126">
        <f>BB14/BB18*1000+BC14/BC18*100+BG14/BG18*10+BD14/BD18</f>
        <v>50.5</v>
      </c>
      <c r="BI14" s="126">
        <f>BH14/BH18</f>
        <v>0.98058252427184467</v>
      </c>
      <c r="BK14" s="131">
        <v>77</v>
      </c>
      <c r="BL14" s="24" t="str">
        <f>AS56</f>
        <v>France</v>
      </c>
      <c r="BM14" s="61">
        <v>3</v>
      </c>
      <c r="BN14" s="63"/>
      <c r="BO14" s="25"/>
      <c r="BP14" s="116">
        <f>IF(OR(BM14="",BM15="",AND(BN14="",BN15&lt;&gt;""),AND(BN15="",BN14&lt;&gt;""),AND(BO14="",BO15&lt;&gt;""),AND(BO15="",BO14&lt;&gt;"")),"",BM14*1000+BN14*10+BO14)</f>
        <v>3000</v>
      </c>
      <c r="BQ14" s="112"/>
      <c r="BR14" s="21"/>
      <c r="BS14" s="21"/>
      <c r="BT14" s="21"/>
      <c r="BU14" s="21"/>
      <c r="BV14" s="21"/>
      <c r="BW14" s="114"/>
      <c r="BX14" s="112"/>
      <c r="BY14" s="21"/>
      <c r="BZ14" s="21"/>
      <c r="CA14" s="21"/>
      <c r="CB14" s="21"/>
      <c r="CC14" s="28"/>
      <c r="CD14" s="112"/>
      <c r="CE14" s="112"/>
      <c r="CF14" s="21"/>
      <c r="CG14" s="21"/>
      <c r="CH14" s="21"/>
      <c r="CI14" s="21"/>
      <c r="CJ14" s="21"/>
      <c r="CL14" s="112"/>
      <c r="CM14" s="21"/>
      <c r="CN14" s="21"/>
      <c r="CO14" s="21"/>
      <c r="CP14" s="21"/>
      <c r="CQ14" s="21"/>
    </row>
    <row r="15" spans="1:95" x14ac:dyDescent="0.25">
      <c r="A15" s="16">
        <v>9</v>
      </c>
      <c r="B15" s="17" t="str" cm="1">
        <f t="array" ref="B15">INDEX(T,18+INT(MOD(R15-1,7)),lang)</f>
        <v>Mon</v>
      </c>
      <c r="C15" s="18" t="str" cm="1">
        <f t="array" ref="C15">INDEX(T,24+MONTH(R15),lang) &amp; " " &amp; DAY(R15) &amp; ", " &amp; YEAR(R15)</f>
        <v>Jun 15, 2026</v>
      </c>
      <c r="D15" s="120">
        <f t="shared" si="7"/>
        <v>0</v>
      </c>
      <c r="E15" s="78" t="str">
        <f>AE34</f>
        <v>Ivory Coast</v>
      </c>
      <c r="F15" s="19">
        <v>1</v>
      </c>
      <c r="G15" s="20">
        <v>0</v>
      </c>
      <c r="H15" s="80" t="str">
        <f>AE35</f>
        <v>Ecuador</v>
      </c>
      <c r="J15" s="30" t="str">
        <f>VLOOKUP(1,AD14:AN17,2,FALSE)</f>
        <v>Switzerland</v>
      </c>
      <c r="K15" s="31">
        <f>L15+M15+N15</f>
        <v>3</v>
      </c>
      <c r="L15" s="31">
        <f>VLOOKUP(1,AD14:AN17,3,FALSE)</f>
        <v>2</v>
      </c>
      <c r="M15" s="31">
        <f>VLOOKUP(1,AD14:AN17,4,FALSE)</f>
        <v>1</v>
      </c>
      <c r="N15" s="31">
        <f>VLOOKUP(1,AD14:AN17,5,FALSE)</f>
        <v>0</v>
      </c>
      <c r="O15" s="31" t="str">
        <f>VLOOKUP(1,AD14:AN17,6,FALSE) &amp; " - " &amp; VLOOKUP(1,AD14:AN17,7,FALSE)</f>
        <v>7 - 3</v>
      </c>
      <c r="P15" s="32">
        <f>L15*3+M15</f>
        <v>7</v>
      </c>
      <c r="R15" s="123">
        <f>DATE(2026,6,14)+TIME(12,0,0)+gmt_delta</f>
        <v>46188</v>
      </c>
      <c r="S15" s="127" t="str">
        <f t="shared" si="1"/>
        <v>Ivory Coast_win</v>
      </c>
      <c r="T15" s="127" t="str">
        <f t="shared" si="2"/>
        <v>Ecuador_lose</v>
      </c>
      <c r="U15" s="123">
        <f t="shared" si="8"/>
        <v>0</v>
      </c>
      <c r="V15" s="123">
        <f t="shared" si="3"/>
        <v>0</v>
      </c>
      <c r="W15" s="123">
        <f t="shared" si="4"/>
        <v>0</v>
      </c>
      <c r="X15" s="123">
        <f t="shared" si="9"/>
        <v>0</v>
      </c>
      <c r="Y15" s="123">
        <f t="shared" si="10"/>
        <v>0</v>
      </c>
      <c r="Z15" s="123">
        <f t="shared" si="11"/>
        <v>0</v>
      </c>
      <c r="AA15" s="123">
        <f t="shared" si="5"/>
        <v>0</v>
      </c>
      <c r="AB15" s="123">
        <f t="shared" si="6"/>
        <v>1</v>
      </c>
      <c r="AD15" s="123">
        <f>COUNTIF(AR14:AR17,CONCATENATE("&gt;=",AR15))</f>
        <v>3</v>
      </c>
      <c r="AE15" s="124" t="str">
        <f>VLOOKUP("Bosnia and Herzegovina",T,lang,FALSE)</f>
        <v>Bosnia and Herzegovina</v>
      </c>
      <c r="AF15" s="123">
        <f>COUNTIF($S$7:$T$78,"=" &amp; AE15 &amp; "_win")</f>
        <v>1</v>
      </c>
      <c r="AG15" s="123">
        <f>COUNTIF($S$7:$T$78,"=" &amp; AE15 &amp; "_draw")</f>
        <v>1</v>
      </c>
      <c r="AH15" s="123">
        <f>COUNTIF($S$7:$T$78,"=" &amp; AE15 &amp; "_lose")</f>
        <v>1</v>
      </c>
      <c r="AI15" s="123">
        <f>SUMIF($E$7:$E$78,$AE15,$F$7:$F$78) + SUMIF($H$7:$H$78,$AE15,$G$7:$G$78)</f>
        <v>5</v>
      </c>
      <c r="AJ15" s="123">
        <f>SUMIF($E$7:$E$78,$AE15,$G$7:$G$78) + SUMIF($H$7:$H$78,$AE15,$F$7:$F$78)</f>
        <v>6</v>
      </c>
      <c r="AL15" s="123">
        <f>AI15-AJ15</f>
        <v>-1</v>
      </c>
      <c r="AM15" s="123">
        <f>AL15-AL18</f>
        <v>7</v>
      </c>
      <c r="AN15" s="123">
        <f>AF15*3+AG15</f>
        <v>4</v>
      </c>
      <c r="AO15" s="123">
        <f>AN15/AN18*10+BA15</f>
        <v>5.9805825242718447</v>
      </c>
      <c r="AP15" s="123">
        <f>AO15*10000000+BI15*100+AM15/AM18*10+AI15/AI18*1++IF(AQ15=0,ROW(),AQ15)/2000000</f>
        <v>59805928.857219338</v>
      </c>
      <c r="AQ15" s="126">
        <f>VLOOKUP(AE15,db_fifarank,2,FALSE)</f>
        <v>1385.84</v>
      </c>
      <c r="AR15" s="125">
        <f>AP15/AP18</f>
        <v>0.68349624894870786</v>
      </c>
      <c r="AS15" s="125" t="str">
        <f>IF(SUM(AF14:AH17)=12,J16,"2B")</f>
        <v>Canada</v>
      </c>
      <c r="AT15" s="126" cm="1">
        <f t="array" ref="AT15">SUMPRODUCT(($S$7:$S$78=AE15&amp;"_win")*($U$7:$U$78))+SUMPRODUCT(($T$7:$T$78=AE15&amp;"_win")*($U$7:$U$78))</f>
        <v>0</v>
      </c>
      <c r="AU15" s="126" cm="1">
        <f t="array" ref="AU15">SUMPRODUCT(($S$7:$S$78=AE15&amp;"_draw")*($U$7:$U$78))+SUMPRODUCT(($T$7:$T$78=AE15&amp;"_draw")*($U$7:$U$78))</f>
        <v>1</v>
      </c>
      <c r="AV15" s="126" cm="1">
        <f t="array" ref="AV15">SUMPRODUCT(($E$7:$E$78=AE15)*($U$7:$U$78)*($F$7:$F$78))+SUMPRODUCT(($H$7:$H$78=AE15)*($U$7:$U$78)*($G$7:$G$78))</f>
        <v>1</v>
      </c>
      <c r="AW15" s="126" cm="1">
        <f t="array" ref="AW15">SUMPRODUCT(($E$7:$E$78=AE15)*($U$7:$U$78)*($G$7:$G$78))+SUMPRODUCT(($H$7:$H$78=AE15)*($U$7:$U$78)*($F$7:$F$78))</f>
        <v>1</v>
      </c>
      <c r="AX15" s="126">
        <f>AV15-AW15</f>
        <v>0</v>
      </c>
      <c r="AY15" s="126">
        <f>AX15-MIN(AX14:AX17)</f>
        <v>0</v>
      </c>
      <c r="AZ15" s="126">
        <f>AT15/AT18*1000+AU15/AU18*100+AY15/AY18*10+AV15/AV18</f>
        <v>50.5</v>
      </c>
      <c r="BA15" s="126">
        <f>AZ15/AZ18</f>
        <v>0.98058252427184467</v>
      </c>
      <c r="BB15" s="126" cm="1">
        <f t="array" ref="BB15">SUMPRODUCT(($S$7:$S$78=AE15&amp;"_win")*($X$7:$X$78))+SUMPRODUCT(($T$7:$T$78=AE15&amp;"_win")*($X$7:$X$78))</f>
        <v>0</v>
      </c>
      <c r="BC15" s="126" cm="1">
        <f t="array" ref="BC15">SUMPRODUCT(($S$7:$S$78=AE15&amp;"_draw")*($X$7:$X$78))+SUMPRODUCT(($T$7:$T$78=AE15&amp;"_draw")*($X$7:$X$78))</f>
        <v>1</v>
      </c>
      <c r="BD15" s="126" cm="1">
        <f t="array" ref="BD15">SUMPRODUCT(($E$7:$E$78=AE15)*($X$7:$X$78)*($F$7:$F$78))+SUMPRODUCT(($H$7:$H$78=AE15)*($X$7:$X$78)*($G$7:$G$78))</f>
        <v>1</v>
      </c>
      <c r="BE15" s="126" cm="1">
        <f t="array" ref="BE15">SUMPRODUCT(($E$7:$E$78=AE15)*($X$7:$X$78)*($G$7:$G$78))+SUMPRODUCT(($H$7:$H$78=AE15)*($X$7:$X$78)*($F$7:$F$78))</f>
        <v>1</v>
      </c>
      <c r="BF15" s="126">
        <f>BD15-BE15</f>
        <v>0</v>
      </c>
      <c r="BG15" s="126">
        <f>BF15-MIN(BF14:BF17)</f>
        <v>0</v>
      </c>
      <c r="BH15" s="126">
        <f>BB15/BB18*1000+BC15/BC18*100+BG15/BG18*10+BD15/BD18</f>
        <v>50.5</v>
      </c>
      <c r="BI15" s="126">
        <f>BH15/BH18</f>
        <v>0.98058252427184467</v>
      </c>
      <c r="BK15" s="132"/>
      <c r="BL15" s="26" t="str">
        <f>IF(group_round_completed,VLOOKUP('3rd places'!I3,AK80:AS91,9,FALSE),"3rd Group C/D/F/G/H")</f>
        <v>Sweden</v>
      </c>
      <c r="BM15" s="62">
        <v>0</v>
      </c>
      <c r="BN15" s="64"/>
      <c r="BO15" s="27"/>
      <c r="BP15" s="112">
        <f>IF(BP14="","",BM15*1000+BN15*10+BO15)</f>
        <v>0</v>
      </c>
      <c r="BQ15" s="112"/>
      <c r="BR15" s="21"/>
      <c r="BS15" s="21"/>
      <c r="BT15" s="21"/>
      <c r="BU15" s="21"/>
      <c r="BV15" s="21"/>
      <c r="BW15" s="114"/>
      <c r="BX15" s="112"/>
      <c r="BY15" s="21" t="str" cm="1">
        <f t="array" ref="BY15">INDEX(T,24+MONTH(CD15),lang) &amp; " " &amp; DAY(CD15) &amp; ", " &amp; YEAR(CD15) &amp; "   " &amp; (IF(HOUR(CD15)&lt;10,0,"")&amp;HOUR(CD15)) &amp; ":" &amp;  (IF(MINUTE(CD15)&lt;10,0,"")&amp;MINUTE(CD15))</f>
        <v>Jul 9, 2026   21:00</v>
      </c>
      <c r="BZ15" s="21"/>
      <c r="CA15" s="21"/>
      <c r="CB15" s="21"/>
      <c r="CC15" s="28"/>
      <c r="CD15" s="112">
        <f>DATE(2026,7,9)+TIME(9,0,0)+gmt_delta</f>
        <v>46212.875</v>
      </c>
      <c r="CE15" s="112"/>
      <c r="CF15" s="21"/>
      <c r="CG15" s="21"/>
      <c r="CH15" s="21"/>
      <c r="CI15" s="21"/>
    </row>
    <row r="16" spans="1:95" x14ac:dyDescent="0.25">
      <c r="A16" s="16">
        <v>10</v>
      </c>
      <c r="B16" s="17" t="str" cm="1">
        <f t="array" ref="B16">INDEX(T,18+INT(MOD(R16-1,7)),lang)</f>
        <v>Sun</v>
      </c>
      <c r="C16" s="18" t="str" cm="1">
        <f t="array" ref="C16">INDEX(T,24+MONTH(R16),lang) &amp; " " &amp; DAY(R16) &amp; ", " &amp; YEAR(R16)</f>
        <v>Jun 14, 2026</v>
      </c>
      <c r="D16" s="120">
        <f t="shared" si="7"/>
        <v>0.75</v>
      </c>
      <c r="E16" s="78" t="str">
        <f>AE32</f>
        <v>Germany</v>
      </c>
      <c r="F16" s="19">
        <v>7</v>
      </c>
      <c r="G16" s="20">
        <v>1</v>
      </c>
      <c r="H16" s="80" t="str">
        <f>AE33</f>
        <v>Curaçao</v>
      </c>
      <c r="J16" s="33" t="str">
        <f>VLOOKUP(2,AD14:AN17,2,FALSE)</f>
        <v>Canada</v>
      </c>
      <c r="K16" s="23">
        <f>L16+M16+N16</f>
        <v>3</v>
      </c>
      <c r="L16" s="23">
        <f>VLOOKUP(2,AD14:AN17,3,FALSE)</f>
        <v>1</v>
      </c>
      <c r="M16" s="23">
        <f>VLOOKUP(2,AD14:AN17,4,FALSE)</f>
        <v>1</v>
      </c>
      <c r="N16" s="23">
        <f>VLOOKUP(2,AD14:AN17,5,FALSE)</f>
        <v>1</v>
      </c>
      <c r="O16" s="23" t="str">
        <f>VLOOKUP(2,AD14:AN17,6,FALSE) &amp; " - " &amp; VLOOKUP(2,AD14:AN17,7,FALSE)</f>
        <v>8 - 3</v>
      </c>
      <c r="P16" s="34">
        <f>L16*3+M16</f>
        <v>4</v>
      </c>
      <c r="R16" s="123">
        <f>DATE(2026,6,14)+TIME(6,0,0)+gmt_delta</f>
        <v>46187.75</v>
      </c>
      <c r="S16" s="127" t="str">
        <f t="shared" si="1"/>
        <v>Germany_win</v>
      </c>
      <c r="T16" s="127" t="str">
        <f t="shared" si="2"/>
        <v>Curaçao_lose</v>
      </c>
      <c r="U16" s="123">
        <f t="shared" si="8"/>
        <v>0</v>
      </c>
      <c r="V16" s="123">
        <f t="shared" si="3"/>
        <v>0</v>
      </c>
      <c r="W16" s="123">
        <f t="shared" si="4"/>
        <v>0</v>
      </c>
      <c r="X16" s="123">
        <f t="shared" si="9"/>
        <v>0</v>
      </c>
      <c r="Y16" s="123">
        <f t="shared" si="10"/>
        <v>0</v>
      </c>
      <c r="Z16" s="123">
        <f t="shared" si="11"/>
        <v>0</v>
      </c>
      <c r="AA16" s="123">
        <f t="shared" si="5"/>
        <v>0</v>
      </c>
      <c r="AB16" s="123">
        <f t="shared" si="6"/>
        <v>1</v>
      </c>
      <c r="AD16" s="123">
        <f>COUNTIF(AR14:AR17,CONCATENATE("&gt;=",AR16))</f>
        <v>4</v>
      </c>
      <c r="AE16" s="124" t="str">
        <f>VLOOKUP("Qatar",T,lang,FALSE)</f>
        <v>Qatar</v>
      </c>
      <c r="AF16" s="123">
        <f>COUNTIF($S$7:$T$78,"=" &amp; AE16 &amp; "_win")</f>
        <v>0</v>
      </c>
      <c r="AG16" s="123">
        <f>COUNTIF($S$7:$T$78,"=" &amp; AE16 &amp; "_draw")</f>
        <v>1</v>
      </c>
      <c r="AH16" s="123">
        <f>COUNTIF($S$7:$T$78,"=" &amp; AE16 &amp; "_lose")</f>
        <v>2</v>
      </c>
      <c r="AI16" s="123">
        <f>SUMIF($E$7:$E$78,$AE16,$F$7:$F$78) + SUMIF($H$7:$H$78,$AE16,$G$7:$G$78)</f>
        <v>2</v>
      </c>
      <c r="AJ16" s="123">
        <f>SUMIF($E$7:$E$78,$AE16,$G$7:$G$78) + SUMIF($H$7:$H$78,$AE16,$F$7:$F$78)</f>
        <v>10</v>
      </c>
      <c r="AL16" s="123">
        <f>AI16-AJ16</f>
        <v>-8</v>
      </c>
      <c r="AM16" s="123">
        <f>AL16-AL18</f>
        <v>0</v>
      </c>
      <c r="AN16" s="123">
        <f>AF16*3+AG16</f>
        <v>1</v>
      </c>
      <c r="AO16" s="123">
        <f>AN16/AN18*10+BA16</f>
        <v>1.25</v>
      </c>
      <c r="AP16" s="123">
        <f>AO16*10000000+BI16*100+AM16/AM18*10+AI16/AI18*1++IF(AQ16=0,ROW(),AQ16)/2000000</f>
        <v>12500000.222949702</v>
      </c>
      <c r="AQ16" s="126">
        <f>VLOOKUP(AE16,db_fifarank,2,FALSE)</f>
        <v>1454.96</v>
      </c>
      <c r="AR16" s="125">
        <f>AP16/AP18</f>
        <v>0.14285712850713128</v>
      </c>
      <c r="AT16" s="126" cm="1">
        <f t="array" ref="AT16">SUMPRODUCT(($S$7:$S$78=AE16&amp;"_win")*($U$7:$U$78))+SUMPRODUCT(($T$7:$T$78=AE16&amp;"_win")*($U$7:$U$78))</f>
        <v>0</v>
      </c>
      <c r="AU16" s="126" cm="1">
        <f t="array" ref="AU16">SUMPRODUCT(($S$7:$S$78=AE16&amp;"_draw")*($U$7:$U$78))+SUMPRODUCT(($T$7:$T$78=AE16&amp;"_draw")*($U$7:$U$78))</f>
        <v>0</v>
      </c>
      <c r="AV16" s="126" cm="1">
        <f t="array" ref="AV16">SUMPRODUCT(($E$7:$E$78=AE16)*($U$7:$U$78)*($F$7:$F$78))+SUMPRODUCT(($H$7:$H$78=AE16)*($U$7:$U$78)*($G$7:$G$78))</f>
        <v>0</v>
      </c>
      <c r="AW16" s="126" cm="1">
        <f t="array" ref="AW16">SUMPRODUCT(($E$7:$E$78=AE16)*($U$7:$U$78)*($G$7:$G$78))+SUMPRODUCT(($H$7:$H$78=AE16)*($U$7:$U$78)*($F$7:$F$78))</f>
        <v>0</v>
      </c>
      <c r="AX16" s="126">
        <f>AV16-AW16</f>
        <v>0</v>
      </c>
      <c r="AY16" s="126">
        <f>AX16-MIN(AX14:AX17)</f>
        <v>0</v>
      </c>
      <c r="AZ16" s="126">
        <f>AT16/AT18*1000+AU16/AU18*100+AY16/AY18*10+AV16/AV18</f>
        <v>0</v>
      </c>
      <c r="BA16" s="126">
        <f>AZ16/AZ18</f>
        <v>0</v>
      </c>
      <c r="BB16" s="126" cm="1">
        <f t="array" ref="BB16">SUMPRODUCT(($S$7:$S$78=AE16&amp;"_win")*($X$7:$X$78))+SUMPRODUCT(($T$7:$T$78=AE16&amp;"_win")*($X$7:$X$78))</f>
        <v>0</v>
      </c>
      <c r="BC16" s="126" cm="1">
        <f t="array" ref="BC16">SUMPRODUCT(($S$7:$S$78=AE16&amp;"_draw")*($X$7:$X$78))+SUMPRODUCT(($T$7:$T$78=AE16&amp;"_draw")*($X$7:$X$78))</f>
        <v>0</v>
      </c>
      <c r="BD16" s="126" cm="1">
        <f t="array" ref="BD16">SUMPRODUCT(($E$7:$E$78=AE16)*($X$7:$X$78)*($F$7:$F$78))+SUMPRODUCT(($H$7:$H$78=AE16)*($X$7:$X$78)*($G$7:$G$78))</f>
        <v>0</v>
      </c>
      <c r="BE16" s="126" cm="1">
        <f t="array" ref="BE16">SUMPRODUCT(($E$7:$E$78=AE16)*($X$7:$X$78)*($G$7:$G$78))+SUMPRODUCT(($H$7:$H$78=AE16)*($X$7:$X$78)*($F$7:$F$78))</f>
        <v>0</v>
      </c>
      <c r="BF16" s="126">
        <f>BD16-BE16</f>
        <v>0</v>
      </c>
      <c r="BG16" s="126">
        <f>BF16-MIN(BF14:BF17)</f>
        <v>0</v>
      </c>
      <c r="BH16" s="126">
        <f>BB16/BB18*1000+BC16/BC18*100+BG16/BG18*10+BD16/BD18</f>
        <v>0</v>
      </c>
      <c r="BI16" s="126">
        <f>BH16/BH18</f>
        <v>0</v>
      </c>
      <c r="BK16" s="21"/>
      <c r="BL16" s="21"/>
      <c r="BM16" s="21"/>
      <c r="BN16" s="21"/>
      <c r="BO16" s="21"/>
      <c r="BP16" s="112"/>
      <c r="BQ16" s="112"/>
      <c r="BR16" s="21"/>
      <c r="BS16" s="21"/>
      <c r="BT16" s="21"/>
      <c r="BU16" s="21"/>
      <c r="BV16" s="21"/>
      <c r="BW16" s="114"/>
      <c r="BX16" s="112"/>
      <c r="BY16" s="131">
        <v>97</v>
      </c>
      <c r="BZ16" s="24" t="str">
        <f>IF(BW12&gt;BW13,BS12,IF(BW12&lt;BW13,BS13,""))</f>
        <v>France</v>
      </c>
      <c r="CA16" s="61">
        <v>2</v>
      </c>
      <c r="CB16" s="63"/>
      <c r="CC16" s="25"/>
      <c r="CD16" s="112">
        <f>IF(OR(CA16="",CA17="",AND(CB16="",CB17&lt;&gt;""),AND(CB17="",CB16&lt;&gt;""),AND(CC16="",CC17&lt;&gt;""),AND(CC17="",CC16&lt;&gt;"")),"",CA16*1000+CB16*10+CC16)</f>
        <v>2000</v>
      </c>
      <c r="CE16" s="112"/>
      <c r="CF16" s="21"/>
      <c r="CG16" s="21"/>
      <c r="CH16" s="21"/>
      <c r="CI16" s="21"/>
    </row>
    <row r="17" spans="1:95" x14ac:dyDescent="0.25">
      <c r="A17" s="16">
        <v>11</v>
      </c>
      <c r="B17" s="17" t="str" cm="1">
        <f t="array" ref="B17">INDEX(T,18+INT(MOD(R17-1,7)),lang)</f>
        <v>Sun</v>
      </c>
      <c r="C17" s="18" t="str" cm="1">
        <f t="array" ref="C17">INDEX(T,24+MONTH(R17),lang) &amp; " " &amp; DAY(R17) &amp; ", " &amp; YEAR(R17)</f>
        <v>Jun 14, 2026</v>
      </c>
      <c r="D17" s="120">
        <f t="shared" si="7"/>
        <v>0.875</v>
      </c>
      <c r="E17" s="78" t="str">
        <f>AE38</f>
        <v>Netherlands</v>
      </c>
      <c r="F17" s="19">
        <v>2</v>
      </c>
      <c r="G17" s="20">
        <v>2</v>
      </c>
      <c r="H17" s="80" t="str">
        <f>AE39</f>
        <v>Japan</v>
      </c>
      <c r="J17" s="33" t="str">
        <f>VLOOKUP(3,AD14:AN17,2,FALSE)</f>
        <v>Bosnia and Herzegovina</v>
      </c>
      <c r="K17" s="23">
        <f>L17+M17+N17</f>
        <v>3</v>
      </c>
      <c r="L17" s="23">
        <f>VLOOKUP(3,AD14:AN17,3,FALSE)</f>
        <v>1</v>
      </c>
      <c r="M17" s="23">
        <f>VLOOKUP(3,AD14:AN17,4,FALSE)</f>
        <v>1</v>
      </c>
      <c r="N17" s="23">
        <f>VLOOKUP(3,AD14:AN17,5,FALSE)</f>
        <v>1</v>
      </c>
      <c r="O17" s="23" t="str">
        <f>VLOOKUP(3,AD14:AN17,6,FALSE) &amp; " - " &amp; VLOOKUP(3,AD14:AN17,7,FALSE)</f>
        <v>5 - 6</v>
      </c>
      <c r="P17" s="34">
        <f>L17*3+M17</f>
        <v>4</v>
      </c>
      <c r="R17" s="123">
        <f>DATE(2026,6,14)+TIME(9,0,0)+gmt_delta</f>
        <v>46187.875</v>
      </c>
      <c r="S17" s="127" t="str">
        <f t="shared" si="1"/>
        <v>Netherlands_draw</v>
      </c>
      <c r="T17" s="127" t="str">
        <f t="shared" si="2"/>
        <v>Japan_draw</v>
      </c>
      <c r="U17" s="123">
        <f t="shared" si="8"/>
        <v>0</v>
      </c>
      <c r="V17" s="123">
        <f t="shared" si="3"/>
        <v>0</v>
      </c>
      <c r="W17" s="123">
        <f t="shared" si="4"/>
        <v>0</v>
      </c>
      <c r="X17" s="123">
        <f t="shared" si="9"/>
        <v>0</v>
      </c>
      <c r="Y17" s="123">
        <f t="shared" si="10"/>
        <v>0</v>
      </c>
      <c r="Z17" s="123">
        <f t="shared" si="11"/>
        <v>0</v>
      </c>
      <c r="AA17" s="123">
        <f t="shared" si="5"/>
        <v>0</v>
      </c>
      <c r="AB17" s="123">
        <f t="shared" si="6"/>
        <v>0</v>
      </c>
      <c r="AD17" s="123">
        <f>COUNTIF(AR14:AR17,CONCATENATE("&gt;=",AR17))</f>
        <v>1</v>
      </c>
      <c r="AE17" s="124" t="str">
        <f>VLOOKUP("Switzerland",T,lang,FALSE)</f>
        <v>Switzerland</v>
      </c>
      <c r="AF17" s="123">
        <f>COUNTIF($S$7:$T$78,"=" &amp; AE17 &amp; "_win")</f>
        <v>2</v>
      </c>
      <c r="AG17" s="123">
        <f>COUNTIF($S$7:$T$78,"=" &amp; AE17 &amp; "_draw")</f>
        <v>1</v>
      </c>
      <c r="AH17" s="123">
        <f>COUNTIF($S$7:$T$78,"=" &amp; AE17 &amp; "_lose")</f>
        <v>0</v>
      </c>
      <c r="AI17" s="123">
        <f>SUMIF($E$7:$E$78,$AE17,$F$7:$F$78) + SUMIF($H$7:$H$78,$AE17,$G$7:$G$78)</f>
        <v>7</v>
      </c>
      <c r="AJ17" s="123">
        <f>SUMIF($E$7:$E$78,$AE17,$G$7:$G$78) + SUMIF($H$7:$H$78,$AE17,$F$7:$F$78)</f>
        <v>3</v>
      </c>
      <c r="AL17" s="123">
        <f>AI17-AJ17</f>
        <v>4</v>
      </c>
      <c r="AM17" s="123">
        <f>AL17-AL18</f>
        <v>12</v>
      </c>
      <c r="AN17" s="123">
        <f>AF17*3+AG17</f>
        <v>7</v>
      </c>
      <c r="AO17" s="123">
        <f>AN17/AN18*10+BA17</f>
        <v>8.75</v>
      </c>
      <c r="AP17" s="123">
        <f>AO17*10000000+BI17*100+AM17/AM18*10+AI17/AI18*1++IF(AQ17=0,ROW(),AQ17)/2000000</f>
        <v>87500009.350031048</v>
      </c>
      <c r="AQ17" s="126">
        <f>VLOOKUP(AE17,db_fifarank,2,FALSE)</f>
        <v>1649.4</v>
      </c>
      <c r="AR17" s="125">
        <f>AP17/AP18</f>
        <v>0.99999998857142991</v>
      </c>
      <c r="AT17" s="126" cm="1">
        <f t="array" ref="AT17">SUMPRODUCT(($S$7:$S$78=AE17&amp;"_win")*($U$7:$U$78))+SUMPRODUCT(($T$7:$T$78=AE17&amp;"_win")*($U$7:$U$78))</f>
        <v>0</v>
      </c>
      <c r="AU17" s="126" cm="1">
        <f t="array" ref="AU17">SUMPRODUCT(($S$7:$S$78=AE17&amp;"_draw")*($U$7:$U$78))+SUMPRODUCT(($T$7:$T$78=AE17&amp;"_draw")*($U$7:$U$78))</f>
        <v>0</v>
      </c>
      <c r="AV17" s="126" cm="1">
        <f t="array" ref="AV17">SUMPRODUCT(($E$7:$E$78=AE17)*($U$7:$U$78)*($F$7:$F$78))+SUMPRODUCT(($H$7:$H$78=AE17)*($U$7:$U$78)*($G$7:$G$78))</f>
        <v>0</v>
      </c>
      <c r="AW17" s="126" cm="1">
        <f t="array" ref="AW17">SUMPRODUCT(($E$7:$E$78=AE17)*($U$7:$U$78)*($G$7:$G$78))+SUMPRODUCT(($H$7:$H$78=AE17)*($U$7:$U$78)*($F$7:$F$78))</f>
        <v>0</v>
      </c>
      <c r="AX17" s="126">
        <f>AV17-AW17</f>
        <v>0</v>
      </c>
      <c r="AY17" s="126">
        <f>AX17-MIN(AX14:AX17)</f>
        <v>0</v>
      </c>
      <c r="AZ17" s="126">
        <f>AT17/AT18*1000+AU17/AU18*100+AY17/AY18*10+AV17/AV18</f>
        <v>0</v>
      </c>
      <c r="BA17" s="126">
        <f>AZ17/AZ18</f>
        <v>0</v>
      </c>
      <c r="BB17" s="126" cm="1">
        <f t="array" ref="BB17">SUMPRODUCT(($S$7:$S$78=AE17&amp;"_win")*($X$7:$X$78))+SUMPRODUCT(($T$7:$T$78=AE17&amp;"_win")*($X$7:$X$78))</f>
        <v>0</v>
      </c>
      <c r="BC17" s="126" cm="1">
        <f t="array" ref="BC17">SUMPRODUCT(($S$7:$S$78=AE17&amp;"_draw")*($X$7:$X$78))+SUMPRODUCT(($T$7:$T$78=AE17&amp;"_draw")*($X$7:$X$78))</f>
        <v>0</v>
      </c>
      <c r="BD17" s="126" cm="1">
        <f t="array" ref="BD17">SUMPRODUCT(($E$7:$E$78=AE17)*($X$7:$X$78)*($F$7:$F$78))+SUMPRODUCT(($H$7:$H$78=AE17)*($X$7:$X$78)*($G$7:$G$78))</f>
        <v>0</v>
      </c>
      <c r="BE17" s="126" cm="1">
        <f t="array" ref="BE17">SUMPRODUCT(($E$7:$E$78=AE17)*($X$7:$X$78)*($G$7:$G$78))+SUMPRODUCT(($H$7:$H$78=AE17)*($X$7:$X$78)*($F$7:$F$78))</f>
        <v>0</v>
      </c>
      <c r="BF17" s="126">
        <f>BD17-BE17</f>
        <v>0</v>
      </c>
      <c r="BG17" s="126">
        <f>BF17-MIN(BF14:BF17)</f>
        <v>0</v>
      </c>
      <c r="BH17" s="126">
        <f>BB17/BB18*1000+BC17/BC18*100+BG17/BG18*10+BD17/BD18</f>
        <v>0</v>
      </c>
      <c r="BI17" s="126">
        <f>BH17/BH18</f>
        <v>0</v>
      </c>
      <c r="BK17" s="21" t="str" cm="1">
        <f t="array" ref="BK17">INDEX(T,24+MONTH(BP17),lang) &amp; " " &amp; DAY(BP17) &amp; ", " &amp; YEAR(BP17) &amp; "   " &amp; (IF(HOUR(BP17)&lt;10,0,"")&amp;HOUR(BP17)) &amp; ":" &amp;  (IF(MINUTE(BP17)&lt;10,0,"")&amp;MINUTE(BP17))</f>
        <v>Jun 28, 2026   20:00</v>
      </c>
      <c r="BL17" s="21"/>
      <c r="BM17" s="21"/>
      <c r="BN17" s="21"/>
      <c r="BO17" s="28"/>
      <c r="BP17" s="112">
        <f>DATE(2026,6,28)+TIME(8,0,0)+gmt_delta</f>
        <v>46201.833333333336</v>
      </c>
      <c r="BQ17" s="112"/>
      <c r="BR17" s="21"/>
      <c r="BS17" s="21"/>
      <c r="BT17" s="21"/>
      <c r="BU17" s="21"/>
      <c r="BV17" s="21"/>
      <c r="BW17" s="114"/>
      <c r="BX17" s="115"/>
      <c r="BY17" s="132"/>
      <c r="BZ17" s="26" t="str">
        <f>IF(BW20&gt;BW21,BS20,IF(BW20&lt;BW21,BS21,""))</f>
        <v>Morocco</v>
      </c>
      <c r="CA17" s="62">
        <v>0</v>
      </c>
      <c r="CB17" s="64"/>
      <c r="CC17" s="27"/>
      <c r="CD17" s="113">
        <f>IF(CD16="","",CA17*1000+CB17*10+CC17)</f>
        <v>0</v>
      </c>
      <c r="CE17" s="117"/>
      <c r="CF17" s="21"/>
      <c r="CG17" s="21"/>
      <c r="CH17" s="21"/>
      <c r="CI17" s="21"/>
    </row>
    <row r="18" spans="1:95" x14ac:dyDescent="0.25">
      <c r="A18" s="16">
        <v>12</v>
      </c>
      <c r="B18" s="17" t="str" cm="1">
        <f t="array" ref="B18">INDEX(T,18+INT(MOD(R18-1,7)),lang)</f>
        <v>Mon</v>
      </c>
      <c r="C18" s="18" t="str" cm="1">
        <f t="array" ref="C18">INDEX(T,24+MONTH(R18),lang) &amp; " " &amp; DAY(R18) &amp; ", " &amp; YEAR(R18)</f>
        <v>Jun 15, 2026</v>
      </c>
      <c r="D18" s="120">
        <f t="shared" si="7"/>
        <v>0.125</v>
      </c>
      <c r="E18" s="78" t="str">
        <f>AE40</f>
        <v>Sweden</v>
      </c>
      <c r="F18" s="19">
        <v>5</v>
      </c>
      <c r="G18" s="20">
        <v>1</v>
      </c>
      <c r="H18" s="80" t="str">
        <f>AE41</f>
        <v>Tunisia</v>
      </c>
      <c r="J18" s="35" t="str">
        <f>VLOOKUP(4,AD14:AN17,2,FALSE)</f>
        <v>Qatar</v>
      </c>
      <c r="K18" s="36">
        <f>L18+M18+N18</f>
        <v>3</v>
      </c>
      <c r="L18" s="36">
        <f>VLOOKUP(4,AD14:AN17,3,FALSE)</f>
        <v>0</v>
      </c>
      <c r="M18" s="36">
        <f>VLOOKUP(4,AD14:AN17,4,FALSE)</f>
        <v>1</v>
      </c>
      <c r="N18" s="36">
        <f>VLOOKUP(4,AD14:AN17,5,FALSE)</f>
        <v>2</v>
      </c>
      <c r="O18" s="36" t="str">
        <f>VLOOKUP(4,AD14:AN17,6,FALSE) &amp; " - " &amp; VLOOKUP(4,AD14:AN17,7,FALSE)</f>
        <v>2 - 10</v>
      </c>
      <c r="P18" s="37">
        <f>L18*3+M18</f>
        <v>1</v>
      </c>
      <c r="R18" s="123">
        <f>DATE(2026,6,14)+TIME(15,0,0)+gmt_delta</f>
        <v>46188.125</v>
      </c>
      <c r="S18" s="127" t="str">
        <f t="shared" si="1"/>
        <v>Sweden_win</v>
      </c>
      <c r="T18" s="127" t="str">
        <f t="shared" si="2"/>
        <v>Tunisia_lose</v>
      </c>
      <c r="U18" s="123">
        <f t="shared" si="8"/>
        <v>0</v>
      </c>
      <c r="V18" s="123">
        <f t="shared" si="3"/>
        <v>0</v>
      </c>
      <c r="W18" s="123">
        <f t="shared" si="4"/>
        <v>0</v>
      </c>
      <c r="X18" s="123">
        <f t="shared" si="9"/>
        <v>0</v>
      </c>
      <c r="Y18" s="123">
        <f t="shared" si="10"/>
        <v>0</v>
      </c>
      <c r="Z18" s="123">
        <f t="shared" si="11"/>
        <v>0</v>
      </c>
      <c r="AA18" s="123">
        <f t="shared" si="5"/>
        <v>0</v>
      </c>
      <c r="AB18" s="123">
        <f t="shared" si="6"/>
        <v>1</v>
      </c>
      <c r="AF18" s="123">
        <f t="shared" ref="AF18:AH18" si="13">MAX(AF14:AF17)-MIN(AF14:AF17)+1</f>
        <v>3</v>
      </c>
      <c r="AG18" s="123">
        <f t="shared" si="13"/>
        <v>1</v>
      </c>
      <c r="AH18" s="123">
        <f t="shared" si="13"/>
        <v>3</v>
      </c>
      <c r="AI18" s="123">
        <f>MAX(AI14:AI17)+1</f>
        <v>9</v>
      </c>
      <c r="AL18" s="123">
        <f>MIN(AL14:AL17)</f>
        <v>-8</v>
      </c>
      <c r="AM18" s="123">
        <f>MAX(AM14:AM17)+1</f>
        <v>14</v>
      </c>
      <c r="AN18" s="123">
        <f>MAX(AN14:AN17)+1</f>
        <v>8</v>
      </c>
      <c r="AO18" s="123">
        <f>MAX(AO14:AO17)+1</f>
        <v>9.75</v>
      </c>
      <c r="AP18" s="123">
        <f>MAX(AP14:AP17)+1</f>
        <v>87500010.350031048</v>
      </c>
      <c r="AT18" s="126">
        <f>MAX(AT14:AT17)-MIN(AT14:AT17)+1</f>
        <v>1</v>
      </c>
      <c r="AU18" s="126">
        <f>MAX(AU14:AU17)-MIN(AU14:AU17)+1</f>
        <v>2</v>
      </c>
      <c r="AV18" s="126">
        <f>MAX(AV14:AV17)-MIN(AV14:AV17)+1</f>
        <v>2</v>
      </c>
      <c r="AW18" s="126">
        <f>MAX(AW14:AW17)-MIN(AW14:AW17)+1</f>
        <v>2</v>
      </c>
      <c r="AY18" s="126">
        <f>MAX(AY14:AY17)-MIN(AY14:AY17)+1</f>
        <v>1</v>
      </c>
      <c r="AZ18" s="126">
        <f>MAX(AZ14:AZ17)+1</f>
        <v>51.5</v>
      </c>
      <c r="BB18" s="126">
        <f>MAX(BB14:BB17)-MIN(BB14:BB17)+1</f>
        <v>1</v>
      </c>
      <c r="BC18" s="126">
        <f>MAX(BC14:BC17)-MIN(BC14:BC17)+1</f>
        <v>2</v>
      </c>
      <c r="BD18" s="126">
        <f>MAX(BD14:BD17)-MIN(BD14:BD17)+1</f>
        <v>2</v>
      </c>
      <c r="BE18" s="126">
        <f>MAX(BE14:BE17)-MIN(BE14:BE17)+1</f>
        <v>2</v>
      </c>
      <c r="BG18" s="126">
        <f>MAX(BG14:BG17)-MIN(BG14:BG17)+1</f>
        <v>1</v>
      </c>
      <c r="BH18" s="126">
        <f>MAX(BH14:BH17)+1</f>
        <v>51.5</v>
      </c>
      <c r="BK18" s="131">
        <v>73</v>
      </c>
      <c r="BL18" s="24" t="str">
        <f>AS9</f>
        <v>South Africa</v>
      </c>
      <c r="BM18" s="61">
        <v>0</v>
      </c>
      <c r="BN18" s="63"/>
      <c r="BO18" s="25"/>
      <c r="BP18" s="112">
        <f>IF(OR(BM18="",BM19="",AND(BN18="",BN19&lt;&gt;""),AND(BN19="",BN18&lt;&gt;""),AND(BO18="",BO19&lt;&gt;""),AND(BO19="",BO18&lt;&gt;"")),"",BM18*1000+BN18*10+BO18)</f>
        <v>0</v>
      </c>
      <c r="BQ18" s="112"/>
      <c r="BR18" s="21"/>
      <c r="BS18" s="21"/>
      <c r="BT18" s="21"/>
      <c r="BU18" s="21"/>
      <c r="BV18" s="21"/>
      <c r="BW18" s="114"/>
      <c r="BX18" s="112"/>
      <c r="BY18" s="21"/>
      <c r="BZ18" s="21"/>
      <c r="CA18" s="21"/>
      <c r="CB18" s="21"/>
      <c r="CC18" s="21"/>
      <c r="CD18" s="114"/>
      <c r="CE18" s="112"/>
      <c r="CF18" s="21"/>
      <c r="CG18" s="21"/>
      <c r="CH18" s="21"/>
      <c r="CI18" s="21"/>
    </row>
    <row r="19" spans="1:95" x14ac:dyDescent="0.25">
      <c r="A19" s="16">
        <v>13</v>
      </c>
      <c r="B19" s="17" t="str" cm="1">
        <f t="array" ref="B19">INDEX(T,18+INT(MOD(R19-1,7)),lang)</f>
        <v>Mon</v>
      </c>
      <c r="C19" s="18" t="str" cm="1">
        <f t="array" ref="C19">INDEX(T,24+MONTH(R19),lang) &amp; " " &amp; DAY(R19) &amp; ", " &amp; YEAR(R19)</f>
        <v>Jun 15, 2026</v>
      </c>
      <c r="D19" s="120">
        <f t="shared" si="7"/>
        <v>0.95833333333333337</v>
      </c>
      <c r="E19" s="78" t="str">
        <f>AE52</f>
        <v>Saudi Arabia</v>
      </c>
      <c r="F19" s="19">
        <v>1</v>
      </c>
      <c r="G19" s="20">
        <v>1</v>
      </c>
      <c r="H19" s="80" t="str">
        <f>AE53</f>
        <v>Uruguay</v>
      </c>
      <c r="R19" s="123">
        <f>DATE(2026,6,15)+TIME(11,0,0)+gmt_delta</f>
        <v>46188.958333333336</v>
      </c>
      <c r="S19" s="127" t="str">
        <f t="shared" si="1"/>
        <v>Saudi Arabia_draw</v>
      </c>
      <c r="T19" s="127" t="str">
        <f t="shared" si="2"/>
        <v>Uruguay_draw</v>
      </c>
      <c r="U19" s="123">
        <f t="shared" si="8"/>
        <v>1</v>
      </c>
      <c r="V19" s="123">
        <f t="shared" si="3"/>
        <v>1</v>
      </c>
      <c r="W19" s="123">
        <f t="shared" si="4"/>
        <v>1</v>
      </c>
      <c r="X19" s="123">
        <f t="shared" si="9"/>
        <v>1</v>
      </c>
      <c r="Y19" s="123">
        <f t="shared" si="10"/>
        <v>1</v>
      </c>
      <c r="Z19" s="123">
        <f t="shared" si="11"/>
        <v>1</v>
      </c>
      <c r="AA19" s="123">
        <f t="shared" si="5"/>
        <v>0</v>
      </c>
      <c r="AB19" s="123">
        <f t="shared" si="6"/>
        <v>0</v>
      </c>
      <c r="BK19" s="132"/>
      <c r="BL19" s="26" t="str">
        <f>AS15</f>
        <v>Canada</v>
      </c>
      <c r="BM19" s="62">
        <v>1</v>
      </c>
      <c r="BN19" s="64"/>
      <c r="BO19" s="27"/>
      <c r="BP19" s="113">
        <f>IF(BP18="","",BM19*1000+BN19*10+BO19)</f>
        <v>1000</v>
      </c>
      <c r="BQ19" s="112"/>
      <c r="BR19" s="21" t="str" cm="1">
        <f t="array" ref="BR19">INDEX(T,24+MONTH(BW19),lang) &amp; " " &amp; DAY(BW19) &amp; ", " &amp; YEAR(BW19) &amp; "   " &amp; (IF(HOUR(BW19)&lt;10,0,"")&amp;HOUR(BW19)) &amp; ":" &amp;  (IF(MINUTE(BW19)&lt;10,0,"")&amp;MINUTE(BW19))</f>
        <v>Jul 4, 2026   18:00</v>
      </c>
      <c r="BS19" s="21"/>
      <c r="BT19" s="21"/>
      <c r="BU19" s="21"/>
      <c r="BV19" s="28"/>
      <c r="BW19" s="114">
        <f>DATE(2026,7,4)+TIME(6,0,0)+gmt_delta</f>
        <v>46207.75</v>
      </c>
      <c r="BX19" s="112"/>
      <c r="BY19" s="21"/>
      <c r="BZ19" s="21"/>
      <c r="CA19" s="21"/>
      <c r="CB19" s="21"/>
      <c r="CC19" s="21"/>
      <c r="CD19" s="114"/>
      <c r="CE19" s="112"/>
      <c r="CF19" s="21"/>
      <c r="CG19" s="21"/>
      <c r="CH19" s="21"/>
      <c r="CI19" s="21"/>
      <c r="CJ19" s="21"/>
      <c r="CL19" s="112"/>
      <c r="CM19" s="21"/>
      <c r="CN19" s="21"/>
      <c r="CO19" s="21"/>
      <c r="CP19" s="21"/>
      <c r="CQ19" s="21"/>
    </row>
    <row r="20" spans="1:95" x14ac:dyDescent="0.25">
      <c r="A20" s="16">
        <v>14</v>
      </c>
      <c r="B20" s="17" t="str" cm="1">
        <f t="array" ref="B20">INDEX(T,18+INT(MOD(R20-1,7)),lang)</f>
        <v>Mon</v>
      </c>
      <c r="C20" s="18" t="str" cm="1">
        <f t="array" ref="C20">INDEX(T,24+MONTH(R20),lang) &amp; " " &amp; DAY(R20) &amp; ", " &amp; YEAR(R20)</f>
        <v>Jun 15, 2026</v>
      </c>
      <c r="D20" s="120">
        <f t="shared" si="7"/>
        <v>0.70833333333333337</v>
      </c>
      <c r="E20" s="78" t="str">
        <f>AE50</f>
        <v>Spain</v>
      </c>
      <c r="F20" s="19">
        <v>0</v>
      </c>
      <c r="G20" s="20">
        <v>0</v>
      </c>
      <c r="H20" s="80" t="str">
        <f>AE51</f>
        <v>Cape Verde</v>
      </c>
      <c r="J20" s="38" t="str" cm="1">
        <f t="array" ref="J20">INDEX(T,9,lang) &amp; " " &amp; "C"</f>
        <v>Group C</v>
      </c>
      <c r="K20" s="94" t="str" cm="1">
        <f t="array" ref="K20">INDEX(T,10,lang)</f>
        <v>PL</v>
      </c>
      <c r="L20" s="94" t="str" cm="1">
        <f t="array" ref="L20">INDEX(T,11,lang)</f>
        <v>W</v>
      </c>
      <c r="M20" s="94" t="str" cm="1">
        <f t="array" ref="M20">INDEX(T,12,lang)</f>
        <v>DRAW</v>
      </c>
      <c r="N20" s="94" t="str" cm="1">
        <f t="array" ref="N20">INDEX(T,13,lang)</f>
        <v>L</v>
      </c>
      <c r="O20" s="94" t="str" cm="1">
        <f t="array" ref="O20">INDEX(T,14,lang)</f>
        <v>GF - GA</v>
      </c>
      <c r="P20" s="95" t="str" cm="1">
        <f t="array" ref="P20">INDEX(T,15,lang)</f>
        <v>PNT</v>
      </c>
      <c r="R20" s="123">
        <f>DATE(2026,6,15)+TIME(5,0,0)+gmt_delta</f>
        <v>46188.708333333336</v>
      </c>
      <c r="S20" s="127" t="str">
        <f t="shared" si="1"/>
        <v>Spain_draw</v>
      </c>
      <c r="T20" s="127" t="str">
        <f t="shared" si="2"/>
        <v>Cape Verde_draw</v>
      </c>
      <c r="U20" s="123">
        <f t="shared" si="8"/>
        <v>0</v>
      </c>
      <c r="V20" s="123">
        <f t="shared" si="3"/>
        <v>0</v>
      </c>
      <c r="W20" s="123">
        <f t="shared" si="4"/>
        <v>0</v>
      </c>
      <c r="X20" s="123">
        <f t="shared" si="9"/>
        <v>0</v>
      </c>
      <c r="Y20" s="123">
        <f t="shared" si="10"/>
        <v>0</v>
      </c>
      <c r="Z20" s="123">
        <f t="shared" si="11"/>
        <v>0</v>
      </c>
      <c r="AA20" s="123">
        <f t="shared" si="5"/>
        <v>0</v>
      </c>
      <c r="AB20" s="123">
        <f t="shared" si="6"/>
        <v>0</v>
      </c>
      <c r="AD20" s="123">
        <f>COUNTIF(AR20:AR23,CONCATENATE("&gt;=",AR20))</f>
        <v>1</v>
      </c>
      <c r="AE20" s="124" t="str">
        <f>VLOOKUP("Brazil",T,lang,FALSE)</f>
        <v>Brazil</v>
      </c>
      <c r="AF20" s="123">
        <f>COUNTIF($S$7:$T$78,"=" &amp; AE20 &amp; "_win")</f>
        <v>2</v>
      </c>
      <c r="AG20" s="123">
        <f>COUNTIF($S$7:$T$78,"=" &amp; AE20 &amp; "_draw")</f>
        <v>1</v>
      </c>
      <c r="AH20" s="123">
        <f>COUNTIF($S$7:$T$78,"=" &amp; AE20 &amp; "_lose")</f>
        <v>0</v>
      </c>
      <c r="AI20" s="123">
        <f>SUMIF($E$7:$E$78,$AE20,$F$7:$F$78) + SUMIF($H$7:$H$78,$AE20,$G$7:$G$78)</f>
        <v>7</v>
      </c>
      <c r="AJ20" s="123">
        <f>SUMIF($E$7:$E$78,$AE20,$G$7:$G$78) + SUMIF($H$7:$H$78,$AE20,$F$7:$F$78)</f>
        <v>1</v>
      </c>
      <c r="AL20" s="123">
        <f>AI20-AJ20</f>
        <v>6</v>
      </c>
      <c r="AM20" s="123">
        <f>AL20-AL24</f>
        <v>12</v>
      </c>
      <c r="AN20" s="123">
        <f>AF20*3+AG20</f>
        <v>7</v>
      </c>
      <c r="AO20" s="123">
        <f>AN20/AN24*10+BA20</f>
        <v>9.7305825242718456</v>
      </c>
      <c r="AP20" s="123">
        <f>AO20*10000000+BI20*100+AM20/AM24*10+AI20/AI24*1++IF(AQ20=0,ROW(),AQ20)/2000000</f>
        <v>97305933.407620698</v>
      </c>
      <c r="AQ20" s="126">
        <f>VLOOKUP(AE20,db_fifarank,2,FALSE)</f>
        <v>1761.16</v>
      </c>
      <c r="AR20" s="125">
        <f>AP20/AP24</f>
        <v>0.99999998972313453</v>
      </c>
      <c r="AS20" s="125" t="str">
        <f>IF(SUM(AF20:AH23)=12,J21,"1C")</f>
        <v>Brazil</v>
      </c>
      <c r="AT20" s="126" cm="1">
        <f t="array" ref="AT20">SUMPRODUCT(($S$7:$S$78=AE20&amp;"_win")*($U$7:$U$78))+SUMPRODUCT(($T$7:$T$78=AE20&amp;"_win")*($U$7:$U$78))</f>
        <v>0</v>
      </c>
      <c r="AU20" s="126" cm="1">
        <f t="array" ref="AU20">SUMPRODUCT(($S$7:$S$78=AE20&amp;"_draw")*($U$7:$U$78))+SUMPRODUCT(($T$7:$T$78=AE20&amp;"_draw")*($U$7:$U$78))</f>
        <v>1</v>
      </c>
      <c r="AV20" s="126" cm="1">
        <f t="array" ref="AV20">SUMPRODUCT(($E$7:$E$78=AE20)*($U$7:$U$78)*($F$7:$F$78))+SUMPRODUCT(($H$7:$H$78=AE20)*($U$7:$U$78)*($G$7:$G$78))</f>
        <v>1</v>
      </c>
      <c r="AW20" s="126" cm="1">
        <f t="array" ref="AW20">SUMPRODUCT(($E$7:$E$78=AE20)*($U$7:$U$78)*($G$7:$G$78))+SUMPRODUCT(($H$7:$H$78=AE20)*($U$7:$U$78)*($F$7:$F$78))</f>
        <v>1</v>
      </c>
      <c r="AX20" s="126">
        <f>AV20-AW20</f>
        <v>0</v>
      </c>
      <c r="AY20" s="126">
        <f>AX20-MIN(AX20:AX23)</f>
        <v>0</v>
      </c>
      <c r="AZ20" s="126">
        <f>AT20/AT24*1000+AU20/AU24*100+AY20/AY24*10+AV20/AV24</f>
        <v>50.5</v>
      </c>
      <c r="BA20" s="126">
        <f>AZ20/AZ24</f>
        <v>0.98058252427184467</v>
      </c>
      <c r="BB20" s="126" cm="1">
        <f t="array" ref="BB20">SUMPRODUCT(($S$7:$S$78=AE20&amp;"_win")*($X$7:$X$78))+SUMPRODUCT(($T$7:$T$78=AE20&amp;"_win")*($X$7:$X$78))</f>
        <v>0</v>
      </c>
      <c r="BC20" s="126" cm="1">
        <f t="array" ref="BC20">SUMPRODUCT(($S$7:$S$78=AE20&amp;"_draw")*($X$7:$X$78))+SUMPRODUCT(($T$7:$T$78=AE20&amp;"_draw")*($X$7:$X$78))</f>
        <v>1</v>
      </c>
      <c r="BD20" s="126" cm="1">
        <f t="array" ref="BD20">SUMPRODUCT(($E$7:$E$78=AE20)*($X$7:$X$78)*($F$7:$F$78))+SUMPRODUCT(($H$7:$H$78=AE20)*($X$7:$X$78)*($G$7:$G$78))</f>
        <v>1</v>
      </c>
      <c r="BE20" s="126" cm="1">
        <f t="array" ref="BE20">SUMPRODUCT(($E$7:$E$78=AE20)*($X$7:$X$78)*($G$7:$G$78))+SUMPRODUCT(($H$7:$H$78=AE20)*($X$7:$X$78)*($F$7:$F$78))</f>
        <v>1</v>
      </c>
      <c r="BF20" s="126">
        <f>BD20-BE20</f>
        <v>0</v>
      </c>
      <c r="BG20" s="126">
        <f>BF20-MIN(BF20:BF23)</f>
        <v>0</v>
      </c>
      <c r="BH20" s="126">
        <f>BB20/BB24*1000+BC20/BC24*100+BG20/BG24*10+BD20/BD24</f>
        <v>50.5</v>
      </c>
      <c r="BI20" s="126">
        <f>BH20/BH24</f>
        <v>0.98058252427184467</v>
      </c>
      <c r="BK20" s="21"/>
      <c r="BL20" s="21"/>
      <c r="BM20" s="21"/>
      <c r="BN20" s="21"/>
      <c r="BO20" s="21"/>
      <c r="BP20" s="114"/>
      <c r="BQ20" s="112"/>
      <c r="BR20" s="131">
        <v>90</v>
      </c>
      <c r="BS20" s="24" t="str">
        <f>IF(BP18&gt;BP19,BL18,IF(BP18&lt;BP19,BL19,""))</f>
        <v>Canada</v>
      </c>
      <c r="BT20" s="61">
        <v>0</v>
      </c>
      <c r="BU20" s="63"/>
      <c r="BV20" s="25"/>
      <c r="BW20" s="116">
        <f>IF(OR(BT20="",BT21="",AND(BU20="",BU21&lt;&gt;""),AND(BU21="",BU20&lt;&gt;""),AND(BV20="",BV21&lt;&gt;""),AND(BV21="",BV20&lt;&gt;"")),"",BT20*1000+BU20*10+BV20)</f>
        <v>0</v>
      </c>
      <c r="BX20" s="112"/>
      <c r="BY20" s="21"/>
      <c r="BZ20" s="21"/>
      <c r="CA20" s="21"/>
      <c r="CB20" s="21"/>
      <c r="CC20" s="21"/>
      <c r="CD20" s="114"/>
      <c r="CE20" s="112"/>
      <c r="CF20" s="21"/>
      <c r="CG20" s="21"/>
      <c r="CH20" s="21"/>
      <c r="CI20" s="21"/>
      <c r="CJ20" s="21"/>
      <c r="CL20" s="112"/>
      <c r="CM20" s="21"/>
      <c r="CN20" s="21"/>
      <c r="CO20" s="21"/>
      <c r="CP20" s="21"/>
      <c r="CQ20" s="21"/>
    </row>
    <row r="21" spans="1:95" x14ac:dyDescent="0.25">
      <c r="A21" s="16">
        <v>15</v>
      </c>
      <c r="B21" s="17" t="str" cm="1">
        <f t="array" ref="B21">INDEX(T,18+INT(MOD(R21-1,7)),lang)</f>
        <v>Tue</v>
      </c>
      <c r="C21" s="18" t="str" cm="1">
        <f t="array" ref="C21">INDEX(T,24+MONTH(R21),lang) &amp; " " &amp; DAY(R21) &amp; ", " &amp; YEAR(R21)</f>
        <v>Jun 16, 2026</v>
      </c>
      <c r="D21" s="120">
        <f t="shared" si="7"/>
        <v>8.3333333333333329E-2</v>
      </c>
      <c r="E21" s="78" t="str">
        <f>AE46</f>
        <v>Iran</v>
      </c>
      <c r="F21" s="19">
        <v>2</v>
      </c>
      <c r="G21" s="20">
        <v>2</v>
      </c>
      <c r="H21" s="80" t="str">
        <f>AE47</f>
        <v>New Zealand</v>
      </c>
      <c r="J21" s="30" t="str">
        <f>VLOOKUP(1,AD20:AN23,2,FALSE)</f>
        <v>Brazil</v>
      </c>
      <c r="K21" s="31">
        <f>L21+M21+N21</f>
        <v>3</v>
      </c>
      <c r="L21" s="31">
        <f>VLOOKUP(1,AD20:AN23,3,FALSE)</f>
        <v>2</v>
      </c>
      <c r="M21" s="31">
        <f>VLOOKUP(1,AD20:AN23,4,FALSE)</f>
        <v>1</v>
      </c>
      <c r="N21" s="31">
        <f>VLOOKUP(1,AD20:AN23,5,FALSE)</f>
        <v>0</v>
      </c>
      <c r="O21" s="31" t="str">
        <f>VLOOKUP(1,AD20:AN23,6,FALSE) &amp; " - " &amp; VLOOKUP(1,AD20:AN23,7,FALSE)</f>
        <v>7 - 1</v>
      </c>
      <c r="P21" s="32">
        <f>L21*3+M21</f>
        <v>7</v>
      </c>
      <c r="R21" s="123">
        <f>DATE(2026,6,15)+TIME(14,0,0)+gmt_delta</f>
        <v>46189.083333333336</v>
      </c>
      <c r="S21" s="127" t="str">
        <f t="shared" si="1"/>
        <v>Iran_draw</v>
      </c>
      <c r="T21" s="127" t="str">
        <f t="shared" si="2"/>
        <v>New Zealand_draw</v>
      </c>
      <c r="U21" s="123">
        <f t="shared" si="8"/>
        <v>0</v>
      </c>
      <c r="V21" s="123">
        <f t="shared" si="3"/>
        <v>0</v>
      </c>
      <c r="W21" s="123">
        <f t="shared" si="4"/>
        <v>0</v>
      </c>
      <c r="X21" s="123">
        <f t="shared" si="9"/>
        <v>0</v>
      </c>
      <c r="Y21" s="123">
        <f t="shared" si="10"/>
        <v>0</v>
      </c>
      <c r="Z21" s="123">
        <f t="shared" si="11"/>
        <v>0</v>
      </c>
      <c r="AA21" s="123">
        <f t="shared" si="5"/>
        <v>0</v>
      </c>
      <c r="AB21" s="123">
        <f t="shared" si="6"/>
        <v>0</v>
      </c>
      <c r="AD21" s="123">
        <f>COUNTIF(AR20:AR23,CONCATENATE("&gt;=",AR21))</f>
        <v>2</v>
      </c>
      <c r="AE21" s="124" t="str">
        <f>VLOOKUP("Morocco",T,lang,FALSE)</f>
        <v>Morocco</v>
      </c>
      <c r="AF21" s="123">
        <f>COUNTIF($S$7:$T$78,"=" &amp; AE21 &amp; "_win")</f>
        <v>2</v>
      </c>
      <c r="AG21" s="123">
        <f>COUNTIF($S$7:$T$78,"=" &amp; AE21 &amp; "_draw")</f>
        <v>1</v>
      </c>
      <c r="AH21" s="123">
        <f>COUNTIF($S$7:$T$78,"=" &amp; AE21 &amp; "_lose")</f>
        <v>0</v>
      </c>
      <c r="AI21" s="123">
        <f>SUMIF($E$7:$E$78,$AE21,$F$7:$F$78) + SUMIF($H$7:$H$78,$AE21,$G$7:$G$78)</f>
        <v>6</v>
      </c>
      <c r="AJ21" s="123">
        <f>SUMIF($E$7:$E$78,$AE21,$G$7:$G$78) + SUMIF($H$7:$H$78,$AE21,$F$7:$F$78)</f>
        <v>3</v>
      </c>
      <c r="AL21" s="123">
        <f>AI21-AJ21</f>
        <v>3</v>
      </c>
      <c r="AM21" s="123">
        <f>AL21-AL24</f>
        <v>9</v>
      </c>
      <c r="AN21" s="123">
        <f>AF21*3+AG21</f>
        <v>7</v>
      </c>
      <c r="AO21" s="123">
        <f>AN21/AN24*10+BA21</f>
        <v>9.7305825242718456</v>
      </c>
      <c r="AP21" s="123">
        <f>AO21*10000000+BI21*100+AM21/AM24*10+AI21/AI24*1++IF(AQ21=0,ROW(),AQ21)/2000000</f>
        <v>97305930.974925742</v>
      </c>
      <c r="AQ21" s="126">
        <f>VLOOKUP(AE21,db_fifarank,2,FALSE)</f>
        <v>1755.87</v>
      </c>
      <c r="AR21" s="125">
        <f>AP21/AP24</f>
        <v>0.99999996472265562</v>
      </c>
      <c r="AS21" s="125" t="str">
        <f>IF(SUM(AF20:AH23)=12,J22,"2C")</f>
        <v>Morocco</v>
      </c>
      <c r="AT21" s="126" cm="1">
        <f t="array" ref="AT21">SUMPRODUCT(($S$7:$S$78=AE21&amp;"_win")*($U$7:$U$78))+SUMPRODUCT(($T$7:$T$78=AE21&amp;"_win")*($U$7:$U$78))</f>
        <v>0</v>
      </c>
      <c r="AU21" s="126" cm="1">
        <f t="array" ref="AU21">SUMPRODUCT(($S$7:$S$78=AE21&amp;"_draw")*($U$7:$U$78))+SUMPRODUCT(($T$7:$T$78=AE21&amp;"_draw")*($U$7:$U$78))</f>
        <v>1</v>
      </c>
      <c r="AV21" s="126" cm="1">
        <f t="array" ref="AV21">SUMPRODUCT(($E$7:$E$78=AE21)*($U$7:$U$78)*($F$7:$F$78))+SUMPRODUCT(($H$7:$H$78=AE21)*($U$7:$U$78)*($G$7:$G$78))</f>
        <v>1</v>
      </c>
      <c r="AW21" s="126" cm="1">
        <f t="array" ref="AW21">SUMPRODUCT(($E$7:$E$78=AE21)*($U$7:$U$78)*($G$7:$G$78))+SUMPRODUCT(($H$7:$H$78=AE21)*($U$7:$U$78)*($F$7:$F$78))</f>
        <v>1</v>
      </c>
      <c r="AX21" s="126">
        <f>AV21-AW21</f>
        <v>0</v>
      </c>
      <c r="AY21" s="126">
        <f>AX21-MIN(AX20:AX23)</f>
        <v>0</v>
      </c>
      <c r="AZ21" s="126">
        <f>AT21/AT24*1000+AU21/AU24*100+AY21/AY24*10+AV21/AV24</f>
        <v>50.5</v>
      </c>
      <c r="BA21" s="126">
        <f>AZ21/AZ24</f>
        <v>0.98058252427184467</v>
      </c>
      <c r="BB21" s="126" cm="1">
        <f t="array" ref="BB21">SUMPRODUCT(($S$7:$S$78=AE21&amp;"_win")*($X$7:$X$78))+SUMPRODUCT(($T$7:$T$78=AE21&amp;"_win")*($X$7:$X$78))</f>
        <v>0</v>
      </c>
      <c r="BC21" s="126" cm="1">
        <f t="array" ref="BC21">SUMPRODUCT(($S$7:$S$78=AE21&amp;"_draw")*($X$7:$X$78))+SUMPRODUCT(($T$7:$T$78=AE21&amp;"_draw")*($X$7:$X$78))</f>
        <v>1</v>
      </c>
      <c r="BD21" s="126" cm="1">
        <f t="array" ref="BD21">SUMPRODUCT(($E$7:$E$78=AE21)*($X$7:$X$78)*($F$7:$F$78))+SUMPRODUCT(($H$7:$H$78=AE21)*($X$7:$X$78)*($G$7:$G$78))</f>
        <v>1</v>
      </c>
      <c r="BE21" s="126" cm="1">
        <f t="array" ref="BE21">SUMPRODUCT(($E$7:$E$78=AE21)*($X$7:$X$78)*($G$7:$G$78))+SUMPRODUCT(($H$7:$H$78=AE21)*($X$7:$X$78)*($F$7:$F$78))</f>
        <v>1</v>
      </c>
      <c r="BF21" s="126">
        <f>BD21-BE21</f>
        <v>0</v>
      </c>
      <c r="BG21" s="126">
        <f>BF21-MIN(BF20:BF23)</f>
        <v>0</v>
      </c>
      <c r="BH21" s="126">
        <f>BB21/BB24*1000+BC21/BC24*100+BG21/BG24*10+BD21/BD24</f>
        <v>50.5</v>
      </c>
      <c r="BI21" s="126">
        <f>BH21/BH24</f>
        <v>0.98058252427184467</v>
      </c>
      <c r="BK21" s="21" t="str" cm="1">
        <f t="array" ref="BK21">INDEX(T,24+MONTH(BP21),lang) &amp; " " &amp; DAY(BP21) &amp; ", " &amp; YEAR(BP21) &amp; "   " &amp; (IF(HOUR(BP21)&lt;10,0,"")&amp;HOUR(BP21)) &amp; ":" &amp;  (IF(MINUTE(BP21)&lt;10,0,"")&amp;MINUTE(BP21))</f>
        <v>Jun 30, 2026   02:00</v>
      </c>
      <c r="BL21" s="21"/>
      <c r="BM21" s="21"/>
      <c r="BN21" s="21"/>
      <c r="BO21" s="28"/>
      <c r="BP21" s="114">
        <f>DATE(2026,6,29)+TIME(14,0,0)+gmt_delta</f>
        <v>46203.083333333336</v>
      </c>
      <c r="BQ21" s="115"/>
      <c r="BR21" s="132"/>
      <c r="BS21" s="26" t="str">
        <f>IF(BP22&gt;BP23,BL22,IF(BP22&lt;BP23,BL23,""))</f>
        <v>Morocco</v>
      </c>
      <c r="BT21" s="62">
        <v>3</v>
      </c>
      <c r="BU21" s="64"/>
      <c r="BV21" s="27"/>
      <c r="BW21" s="112">
        <f>IF(BW20="","",BT21*1000+BU21*10+BV21)</f>
        <v>3000</v>
      </c>
      <c r="BX21" s="112"/>
      <c r="BY21" s="21"/>
      <c r="BZ21" s="21"/>
      <c r="CA21" s="21"/>
      <c r="CB21" s="21"/>
      <c r="CC21" s="21"/>
      <c r="CD21" s="114"/>
      <c r="CE21" s="112"/>
      <c r="CF21" s="21"/>
      <c r="CG21" s="21"/>
      <c r="CH21" s="21"/>
      <c r="CI21" s="21"/>
      <c r="CJ21" s="21"/>
      <c r="CL21" s="112"/>
      <c r="CM21" s="21"/>
      <c r="CN21" s="21"/>
      <c r="CO21" s="21"/>
      <c r="CP21" s="21"/>
      <c r="CQ21" s="21"/>
    </row>
    <row r="22" spans="1:95" x14ac:dyDescent="0.25">
      <c r="A22" s="16">
        <v>16</v>
      </c>
      <c r="B22" s="17" t="str" cm="1">
        <f t="array" ref="B22">INDEX(T,18+INT(MOD(R22-1,7)),lang)</f>
        <v>Mon</v>
      </c>
      <c r="C22" s="18" t="str" cm="1">
        <f t="array" ref="C22">INDEX(T,24+MONTH(R22),lang) &amp; " " &amp; DAY(R22) &amp; ", " &amp; YEAR(R22)</f>
        <v>Jun 15, 2026</v>
      </c>
      <c r="D22" s="120">
        <f t="shared" si="7"/>
        <v>0.83333333333333337</v>
      </c>
      <c r="E22" s="78" t="str">
        <f>AE44</f>
        <v>Belgium</v>
      </c>
      <c r="F22" s="19">
        <v>1</v>
      </c>
      <c r="G22" s="20">
        <v>1</v>
      </c>
      <c r="H22" s="80" t="str">
        <f>AE45</f>
        <v>Egypt</v>
      </c>
      <c r="J22" s="33" t="str">
        <f>VLOOKUP(2,AD20:AN23,2,FALSE)</f>
        <v>Morocco</v>
      </c>
      <c r="K22" s="23">
        <f>L22+M22+N22</f>
        <v>3</v>
      </c>
      <c r="L22" s="23">
        <f>VLOOKUP(2,AD20:AN23,3,FALSE)</f>
        <v>2</v>
      </c>
      <c r="M22" s="23">
        <f>VLOOKUP(2,AD20:AN23,4,FALSE)</f>
        <v>1</v>
      </c>
      <c r="N22" s="23">
        <f>VLOOKUP(2,AD20:AN23,5,FALSE)</f>
        <v>0</v>
      </c>
      <c r="O22" s="23" t="str">
        <f>VLOOKUP(2,AD20:AN23,6,FALSE) &amp; " - " &amp; VLOOKUP(2,AD20:AN23,7,FALSE)</f>
        <v>6 - 3</v>
      </c>
      <c r="P22" s="34">
        <f>L22*3+M22</f>
        <v>7</v>
      </c>
      <c r="R22" s="123">
        <f>DATE(2026,6,15)+TIME(8,0,0)+gmt_delta</f>
        <v>46188.833333333336</v>
      </c>
      <c r="S22" s="127" t="str">
        <f t="shared" si="1"/>
        <v>Belgium_draw</v>
      </c>
      <c r="T22" s="127" t="str">
        <f t="shared" si="2"/>
        <v>Egypt_draw</v>
      </c>
      <c r="U22" s="123">
        <f t="shared" si="8"/>
        <v>1</v>
      </c>
      <c r="V22" s="123">
        <f t="shared" si="3"/>
        <v>1</v>
      </c>
      <c r="W22" s="123">
        <f t="shared" si="4"/>
        <v>1</v>
      </c>
      <c r="X22" s="123">
        <f t="shared" si="9"/>
        <v>1</v>
      </c>
      <c r="Y22" s="123">
        <f t="shared" si="10"/>
        <v>1</v>
      </c>
      <c r="Z22" s="123">
        <f t="shared" si="11"/>
        <v>1</v>
      </c>
      <c r="AA22" s="123">
        <f t="shared" si="5"/>
        <v>0</v>
      </c>
      <c r="AB22" s="123">
        <f t="shared" si="6"/>
        <v>0</v>
      </c>
      <c r="AD22" s="123">
        <f>COUNTIF(AR20:AR23,CONCATENATE("&gt;=",AR22))</f>
        <v>4</v>
      </c>
      <c r="AE22" s="124" t="str">
        <f>VLOOKUP("Haiti",T,lang,FALSE)</f>
        <v>Haiti</v>
      </c>
      <c r="AF22" s="123">
        <f>COUNTIF($S$7:$T$78,"=" &amp; AE22 &amp; "_win")</f>
        <v>0</v>
      </c>
      <c r="AG22" s="123">
        <f>COUNTIF($S$7:$T$78,"=" &amp; AE22 &amp; "_draw")</f>
        <v>0</v>
      </c>
      <c r="AH22" s="123">
        <f>COUNTIF($S$7:$T$78,"=" &amp; AE22 &amp; "_lose")</f>
        <v>3</v>
      </c>
      <c r="AI22" s="123">
        <f>SUMIF($E$7:$E$78,$AE22,$F$7:$F$78) + SUMIF($H$7:$H$78,$AE22,$G$7:$G$78)</f>
        <v>2</v>
      </c>
      <c r="AJ22" s="123">
        <f>SUMIF($E$7:$E$78,$AE22,$G$7:$G$78) + SUMIF($H$7:$H$78,$AE22,$F$7:$F$78)</f>
        <v>8</v>
      </c>
      <c r="AL22" s="123">
        <f>AI22-AJ22</f>
        <v>-6</v>
      </c>
      <c r="AM22" s="123">
        <f>AL22-AL24</f>
        <v>0</v>
      </c>
      <c r="AN22" s="123">
        <f>AF22*3+AG22</f>
        <v>0</v>
      </c>
      <c r="AO22" s="123">
        <f>AN22/AN24*10+BA22</f>
        <v>0</v>
      </c>
      <c r="AP22" s="123">
        <f>AO22*10000000+BI22*100+AM22/AM24*10+AI22/AI24*1++IF(AQ22=0,ROW(),AQ22)/2000000</f>
        <v>0.25064585499999997</v>
      </c>
      <c r="AQ22" s="126">
        <f>VLOOKUP(AE22,db_fifarank,2,FALSE)</f>
        <v>1291.71</v>
      </c>
      <c r="AR22" s="125">
        <f>AP22/AP24</f>
        <v>2.5758537393005105E-9</v>
      </c>
      <c r="AT22" s="126" cm="1">
        <f t="array" ref="AT22">SUMPRODUCT(($S$7:$S$78=AE22&amp;"_win")*($U$7:$U$78))+SUMPRODUCT(($T$7:$T$78=AE22&amp;"_win")*($U$7:$U$78))</f>
        <v>0</v>
      </c>
      <c r="AU22" s="126" cm="1">
        <f t="array" ref="AU22">SUMPRODUCT(($S$7:$S$78=AE22&amp;"_draw")*($U$7:$U$78))+SUMPRODUCT(($T$7:$T$78=AE22&amp;"_draw")*($U$7:$U$78))</f>
        <v>0</v>
      </c>
      <c r="AV22" s="126" cm="1">
        <f t="array" ref="AV22">SUMPRODUCT(($E$7:$E$78=AE22)*($U$7:$U$78)*($F$7:$F$78))+SUMPRODUCT(($H$7:$H$78=AE22)*($U$7:$U$78)*($G$7:$G$78))</f>
        <v>0</v>
      </c>
      <c r="AW22" s="126" cm="1">
        <f t="array" ref="AW22">SUMPRODUCT(($E$7:$E$78=AE22)*($U$7:$U$78)*($G$7:$G$78))+SUMPRODUCT(($H$7:$H$78=AE22)*($U$7:$U$78)*($F$7:$F$78))</f>
        <v>0</v>
      </c>
      <c r="AX22" s="126">
        <f>AV22-AW22</f>
        <v>0</v>
      </c>
      <c r="AY22" s="126">
        <f>AX22-MIN(AX20:AX23)</f>
        <v>0</v>
      </c>
      <c r="AZ22" s="126">
        <f>AT22/AT24*1000+AU22/AU24*100+AY22/AY24*10+AV22/AV24</f>
        <v>0</v>
      </c>
      <c r="BA22" s="126">
        <f>AZ22/AZ24</f>
        <v>0</v>
      </c>
      <c r="BB22" s="126" cm="1">
        <f t="array" ref="BB22">SUMPRODUCT(($S$7:$S$78=AE22&amp;"_win")*($X$7:$X$78))+SUMPRODUCT(($T$7:$T$78=AE22&amp;"_win")*($X$7:$X$78))</f>
        <v>0</v>
      </c>
      <c r="BC22" s="126" cm="1">
        <f t="array" ref="BC22">SUMPRODUCT(($S$7:$S$78=AE22&amp;"_draw")*($X$7:$X$78))+SUMPRODUCT(($T$7:$T$78=AE22&amp;"_draw")*($X$7:$X$78))</f>
        <v>0</v>
      </c>
      <c r="BD22" s="126" cm="1">
        <f t="array" ref="BD22">SUMPRODUCT(($E$7:$E$78=AE22)*($X$7:$X$78)*($F$7:$F$78))+SUMPRODUCT(($H$7:$H$78=AE22)*($X$7:$X$78)*($G$7:$G$78))</f>
        <v>0</v>
      </c>
      <c r="BE22" s="126" cm="1">
        <f t="array" ref="BE22">SUMPRODUCT(($E$7:$E$78=AE22)*($X$7:$X$78)*($G$7:$G$78))+SUMPRODUCT(($H$7:$H$78=AE22)*($X$7:$X$78)*($F$7:$F$78))</f>
        <v>0</v>
      </c>
      <c r="BF22" s="126">
        <f>BD22-BE22</f>
        <v>0</v>
      </c>
      <c r="BG22" s="126">
        <f>BF22-MIN(BF20:BF23)</f>
        <v>0</v>
      </c>
      <c r="BH22" s="126">
        <f>BB22/BB24*1000+BC22/BC24*100+BG22/BG24*10+BD22/BD24</f>
        <v>0</v>
      </c>
      <c r="BI22" s="126">
        <f>BH22/BH24</f>
        <v>0</v>
      </c>
      <c r="BK22" s="131">
        <v>75</v>
      </c>
      <c r="BL22" s="24" t="str">
        <f>AS38</f>
        <v>Netherlands</v>
      </c>
      <c r="BM22" s="61">
        <v>1</v>
      </c>
      <c r="BN22" s="63">
        <v>1</v>
      </c>
      <c r="BO22" s="25">
        <v>2</v>
      </c>
      <c r="BP22" s="116">
        <f>IF(OR(BM22="",BM23="",AND(BN22="",BN23&lt;&gt;""),AND(BN23="",BN22&lt;&gt;""),AND(BO22="",BO23&lt;&gt;""),AND(BO23="",BO22&lt;&gt;"")),"",BM22*1000+BN22*10+BO22)</f>
        <v>1012</v>
      </c>
      <c r="BQ22" s="112"/>
      <c r="BR22" s="21"/>
      <c r="BS22" s="21"/>
      <c r="BT22" s="21"/>
      <c r="BU22" s="21"/>
      <c r="BV22" s="21"/>
      <c r="BW22" s="112"/>
      <c r="BX22" s="112"/>
      <c r="BY22" s="21"/>
      <c r="BZ22" s="21"/>
      <c r="CA22" s="21"/>
      <c r="CB22" s="21"/>
      <c r="CC22" s="21"/>
      <c r="CD22" s="114"/>
      <c r="CE22" s="112"/>
      <c r="CF22" s="21" t="str" cm="1">
        <f t="array" ref="CF22">INDEX(T,24+MONTH(CK22),lang) &amp; " " &amp; DAY(CK22) &amp; ", " &amp; YEAR(CK22) &amp; "   " &amp; (IF(HOUR(CK22)&lt;10,0,"")&amp;HOUR(CK22)) &amp; ":" &amp;  (IF(MINUTE(CK22)&lt;10,0,"")&amp;MINUTE(CK22))</f>
        <v>Jul 14, 2026   20:00</v>
      </c>
      <c r="CG22" s="21"/>
      <c r="CH22" s="21"/>
      <c r="CI22" s="21"/>
      <c r="CJ22" s="28"/>
      <c r="CK22" s="111">
        <f>DATE(2026,7,14)+TIME(8,0,0)+gmt_delta</f>
        <v>46217.833333333336</v>
      </c>
    </row>
    <row r="23" spans="1:95" x14ac:dyDescent="0.25">
      <c r="A23" s="16">
        <v>17</v>
      </c>
      <c r="B23" s="17" t="str" cm="1">
        <f t="array" ref="B23">INDEX(T,18+INT(MOD(R23-1,7)),lang)</f>
        <v>Tue</v>
      </c>
      <c r="C23" s="18" t="str" cm="1">
        <f t="array" ref="C23">INDEX(T,24+MONTH(R23),lang) &amp; " " &amp; DAY(R23) &amp; ", " &amp; YEAR(R23)</f>
        <v>Jun 16, 2026</v>
      </c>
      <c r="D23" s="120">
        <f t="shared" si="7"/>
        <v>0.83333333333333337</v>
      </c>
      <c r="E23" s="78" t="str">
        <f>AE56</f>
        <v>France</v>
      </c>
      <c r="F23" s="19">
        <v>3</v>
      </c>
      <c r="G23" s="20">
        <v>1</v>
      </c>
      <c r="H23" s="80" t="str">
        <f>AE57</f>
        <v>Senegal</v>
      </c>
      <c r="J23" s="33" t="str">
        <f>VLOOKUP(3,AD20:AN23,2,FALSE)</f>
        <v>Scotland</v>
      </c>
      <c r="K23" s="23">
        <f>L23+M23+N23</f>
        <v>3</v>
      </c>
      <c r="L23" s="23">
        <f>VLOOKUP(3,AD20:AN23,3,FALSE)</f>
        <v>1</v>
      </c>
      <c r="M23" s="23">
        <f>VLOOKUP(3,AD20:AN23,4,FALSE)</f>
        <v>0</v>
      </c>
      <c r="N23" s="23">
        <f>VLOOKUP(3,AD20:AN23,5,FALSE)</f>
        <v>2</v>
      </c>
      <c r="O23" s="23" t="str">
        <f>VLOOKUP(3,AD20:AN23,6,FALSE) &amp; " - " &amp; VLOOKUP(3,AD20:AN23,7,FALSE)</f>
        <v>1 - 4</v>
      </c>
      <c r="P23" s="34">
        <f>L23*3+M23</f>
        <v>3</v>
      </c>
      <c r="R23" s="123">
        <f>DATE(2026,6,16)+TIME(8,0,0)+gmt_delta</f>
        <v>46189.833333333336</v>
      </c>
      <c r="S23" s="127" t="str">
        <f t="shared" si="1"/>
        <v>France_win</v>
      </c>
      <c r="T23" s="127" t="str">
        <f t="shared" si="2"/>
        <v>Senegal_lose</v>
      </c>
      <c r="U23" s="123">
        <f t="shared" si="8"/>
        <v>0</v>
      </c>
      <c r="V23" s="123">
        <f t="shared" si="3"/>
        <v>0</v>
      </c>
      <c r="W23" s="123">
        <f t="shared" si="4"/>
        <v>0</v>
      </c>
      <c r="X23" s="123">
        <f t="shared" si="9"/>
        <v>0</v>
      </c>
      <c r="Y23" s="123">
        <f t="shared" si="10"/>
        <v>0</v>
      </c>
      <c r="Z23" s="123">
        <f t="shared" si="11"/>
        <v>0</v>
      </c>
      <c r="AA23" s="123">
        <f t="shared" si="5"/>
        <v>0</v>
      </c>
      <c r="AB23" s="123">
        <f t="shared" si="6"/>
        <v>1</v>
      </c>
      <c r="AD23" s="123">
        <f>COUNTIF(AR20:AR23,CONCATENATE("&gt;=",AR23))</f>
        <v>3</v>
      </c>
      <c r="AE23" s="124" t="str">
        <f>VLOOKUP("Scotland",T,lang,FALSE)</f>
        <v>Scotland</v>
      </c>
      <c r="AF23" s="123">
        <f>COUNTIF($S$7:$T$78,"=" &amp; AE23 &amp; "_win")</f>
        <v>1</v>
      </c>
      <c r="AG23" s="123">
        <f>COUNTIF($S$7:$T$78,"=" &amp; AE23 &amp; "_draw")</f>
        <v>0</v>
      </c>
      <c r="AH23" s="123">
        <f>COUNTIF($S$7:$T$78,"=" &amp; AE23 &amp; "_lose")</f>
        <v>2</v>
      </c>
      <c r="AI23" s="123">
        <f>SUMIF($E$7:$E$78,$AE23,$F$7:$F$78) + SUMIF($H$7:$H$78,$AE23,$G$7:$G$78)</f>
        <v>1</v>
      </c>
      <c r="AJ23" s="123">
        <f>SUMIF($E$7:$E$78,$AE23,$G$7:$G$78) + SUMIF($H$7:$H$78,$AE23,$F$7:$F$78)</f>
        <v>4</v>
      </c>
      <c r="AL23" s="123">
        <f>AI23-AJ23</f>
        <v>-3</v>
      </c>
      <c r="AM23" s="123">
        <f>AL23-AL24</f>
        <v>3</v>
      </c>
      <c r="AN23" s="123">
        <f>AF23*3+AG23</f>
        <v>3</v>
      </c>
      <c r="AO23" s="123">
        <f>AN23/AN24*10+BA23</f>
        <v>3.75</v>
      </c>
      <c r="AP23" s="123">
        <f>AO23*10000000+BI23*100+AM23/AM24*10+AI23/AI24*1++IF(AQ23=0,ROW(),AQ23)/2000000</f>
        <v>37500002.433441482</v>
      </c>
      <c r="AQ23" s="126">
        <f>VLOOKUP(AE23,db_fifarank,2,FALSE)</f>
        <v>1498.35</v>
      </c>
      <c r="AR23" s="125">
        <f>AP23/AP24</f>
        <v>0.38538248115835982</v>
      </c>
      <c r="AT23" s="126" cm="1">
        <f t="array" ref="AT23">SUMPRODUCT(($S$7:$S$78=AE23&amp;"_win")*($U$7:$U$78))+SUMPRODUCT(($T$7:$T$78=AE23&amp;"_win")*($U$7:$U$78))</f>
        <v>0</v>
      </c>
      <c r="AU23" s="126" cm="1">
        <f t="array" ref="AU23">SUMPRODUCT(($S$7:$S$78=AE23&amp;"_draw")*($U$7:$U$78))+SUMPRODUCT(($T$7:$T$78=AE23&amp;"_draw")*($U$7:$U$78))</f>
        <v>0</v>
      </c>
      <c r="AV23" s="126" cm="1">
        <f t="array" ref="AV23">SUMPRODUCT(($E$7:$E$78=AE23)*($U$7:$U$78)*($F$7:$F$78))+SUMPRODUCT(($H$7:$H$78=AE23)*($U$7:$U$78)*($G$7:$G$78))</f>
        <v>0</v>
      </c>
      <c r="AW23" s="126" cm="1">
        <f t="array" ref="AW23">SUMPRODUCT(($E$7:$E$78=AE23)*($U$7:$U$78)*($G$7:$G$78))+SUMPRODUCT(($H$7:$H$78=AE23)*($U$7:$U$78)*($F$7:$F$78))</f>
        <v>0</v>
      </c>
      <c r="AX23" s="126">
        <f>AV23-AW23</f>
        <v>0</v>
      </c>
      <c r="AY23" s="126">
        <f>AX23-MIN(AX20:AX23)</f>
        <v>0</v>
      </c>
      <c r="AZ23" s="126">
        <f>AT23/AT24*1000+AU23/AU24*100+AY23/AY24*10+AV23/AV24</f>
        <v>0</v>
      </c>
      <c r="BA23" s="126">
        <f>AZ23/AZ24</f>
        <v>0</v>
      </c>
      <c r="BB23" s="126" cm="1">
        <f t="array" ref="BB23">SUMPRODUCT(($S$7:$S$78=AE23&amp;"_win")*($X$7:$X$78))+SUMPRODUCT(($T$7:$T$78=AE23&amp;"_win")*($X$7:$X$78))</f>
        <v>0</v>
      </c>
      <c r="BC23" s="126" cm="1">
        <f t="array" ref="BC23">SUMPRODUCT(($S$7:$S$78=AE23&amp;"_draw")*($X$7:$X$78))+SUMPRODUCT(($T$7:$T$78=AE23&amp;"_draw")*($X$7:$X$78))</f>
        <v>0</v>
      </c>
      <c r="BD23" s="126" cm="1">
        <f t="array" ref="BD23">SUMPRODUCT(($E$7:$E$78=AE23)*($X$7:$X$78)*($F$7:$F$78))+SUMPRODUCT(($H$7:$H$78=AE23)*($X$7:$X$78)*($G$7:$G$78))</f>
        <v>0</v>
      </c>
      <c r="BE23" s="126" cm="1">
        <f t="array" ref="BE23">SUMPRODUCT(($E$7:$E$78=AE23)*($X$7:$X$78)*($G$7:$G$78))+SUMPRODUCT(($H$7:$H$78=AE23)*($X$7:$X$78)*($F$7:$F$78))</f>
        <v>0</v>
      </c>
      <c r="BF23" s="126">
        <f>BD23-BE23</f>
        <v>0</v>
      </c>
      <c r="BG23" s="126">
        <f>BF23-MIN(BF20:BF23)</f>
        <v>0</v>
      </c>
      <c r="BH23" s="126">
        <f>BB23/BB24*1000+BC23/BC24*100+BG23/BG24*10+BD23/BD24</f>
        <v>0</v>
      </c>
      <c r="BI23" s="126">
        <f>BH23/BH24</f>
        <v>0</v>
      </c>
      <c r="BK23" s="132"/>
      <c r="BL23" s="26" t="str">
        <f>AS21</f>
        <v>Morocco</v>
      </c>
      <c r="BM23" s="62">
        <v>1</v>
      </c>
      <c r="BN23" s="64">
        <v>1</v>
      </c>
      <c r="BO23" s="27">
        <v>3</v>
      </c>
      <c r="BP23" s="112">
        <f>IF(BP22="","",BM23*1000+BN23*10+BO23)</f>
        <v>1013</v>
      </c>
      <c r="BQ23" s="112"/>
      <c r="BR23" s="21"/>
      <c r="BS23" s="21"/>
      <c r="BT23" s="21"/>
      <c r="BU23" s="21"/>
      <c r="BV23" s="21"/>
      <c r="BW23" s="112"/>
      <c r="BX23" s="112"/>
      <c r="BY23" s="21"/>
      <c r="BZ23" s="21"/>
      <c r="CA23" s="21"/>
      <c r="CB23" s="21"/>
      <c r="CC23" s="21"/>
      <c r="CD23" s="114"/>
      <c r="CE23" s="112"/>
      <c r="CF23" s="131">
        <v>101</v>
      </c>
      <c r="CG23" s="24" t="str">
        <f>IF(CD16&gt;CD17,BZ16,IF(CD16&lt;CD17,BZ17,""))</f>
        <v>France</v>
      </c>
      <c r="CH23" s="61">
        <v>0</v>
      </c>
      <c r="CI23" s="63"/>
      <c r="CJ23" s="25"/>
      <c r="CK23" s="112">
        <f>IF(OR(CH23="",CH24="",AND(CI23="",CI24&lt;&gt;""),AND(CI24="",CI23&lt;&gt;""),AND(CJ23="",CJ24&lt;&gt;""),AND(CJ24="",CJ23&lt;&gt;"")),"",CH23*1000+CI23*10+CJ23)</f>
        <v>0</v>
      </c>
    </row>
    <row r="24" spans="1:95" x14ac:dyDescent="0.25">
      <c r="A24" s="16">
        <v>18</v>
      </c>
      <c r="B24" s="17" t="str" cm="1">
        <f t="array" ref="B24">INDEX(T,18+INT(MOD(R24-1,7)),lang)</f>
        <v>Tue</v>
      </c>
      <c r="C24" s="18" t="str" cm="1">
        <f t="array" ref="C24">INDEX(T,24+MONTH(R24),lang) &amp; " " &amp; DAY(R24) &amp; ", " &amp; YEAR(R24)</f>
        <v>Jun 16, 2026</v>
      </c>
      <c r="D24" s="120">
        <f t="shared" si="7"/>
        <v>0.95833333333333337</v>
      </c>
      <c r="E24" s="78" t="str">
        <f>AE58</f>
        <v>Iraq</v>
      </c>
      <c r="F24" s="19">
        <v>1</v>
      </c>
      <c r="G24" s="20">
        <v>4</v>
      </c>
      <c r="H24" s="80" t="str">
        <f>AE59</f>
        <v>Norway</v>
      </c>
      <c r="J24" s="35" t="str">
        <f>VLOOKUP(4,AD20:AN23,2,FALSE)</f>
        <v>Haiti</v>
      </c>
      <c r="K24" s="36">
        <f>L24+M24+N24</f>
        <v>3</v>
      </c>
      <c r="L24" s="36">
        <f>VLOOKUP(4,AD20:AN23,3,FALSE)</f>
        <v>0</v>
      </c>
      <c r="M24" s="36">
        <f>VLOOKUP(4,AD20:AN23,4,FALSE)</f>
        <v>0</v>
      </c>
      <c r="N24" s="36">
        <f>VLOOKUP(4,AD20:AN23,5,FALSE)</f>
        <v>3</v>
      </c>
      <c r="O24" s="36" t="str">
        <f>VLOOKUP(4,AD20:AN23,6,FALSE) &amp; " - " &amp; VLOOKUP(4,AD20:AN23,7,FALSE)</f>
        <v>2 - 8</v>
      </c>
      <c r="P24" s="37">
        <f>L24*3+M24</f>
        <v>0</v>
      </c>
      <c r="R24" s="123">
        <f>DATE(2026,6,16)+TIME(11,0,0)+gmt_delta</f>
        <v>46189.958333333336</v>
      </c>
      <c r="S24" s="127" t="str">
        <f t="shared" si="1"/>
        <v>Iraq_lose</v>
      </c>
      <c r="T24" s="127" t="str">
        <f t="shared" si="2"/>
        <v>Norway_win</v>
      </c>
      <c r="U24" s="123">
        <f t="shared" si="8"/>
        <v>0</v>
      </c>
      <c r="V24" s="123">
        <f t="shared" si="3"/>
        <v>0</v>
      </c>
      <c r="W24" s="123">
        <f t="shared" si="4"/>
        <v>0</v>
      </c>
      <c r="X24" s="123">
        <f t="shared" si="9"/>
        <v>0</v>
      </c>
      <c r="Y24" s="123">
        <f t="shared" si="10"/>
        <v>0</v>
      </c>
      <c r="Z24" s="123">
        <f t="shared" si="11"/>
        <v>0</v>
      </c>
      <c r="AA24" s="123">
        <f t="shared" si="5"/>
        <v>0</v>
      </c>
      <c r="AB24" s="123">
        <f t="shared" si="6"/>
        <v>-1</v>
      </c>
      <c r="AF24" s="123">
        <f t="shared" ref="AF24:AH24" si="14">MAX(AF20:AF23)-MIN(AF20:AF23)+1</f>
        <v>3</v>
      </c>
      <c r="AG24" s="123">
        <f t="shared" si="14"/>
        <v>2</v>
      </c>
      <c r="AH24" s="123">
        <f t="shared" si="14"/>
        <v>4</v>
      </c>
      <c r="AI24" s="123">
        <f>MAX(AI20:AI23)+1</f>
        <v>8</v>
      </c>
      <c r="AL24" s="123">
        <f>MIN(AL20:AL23)</f>
        <v>-6</v>
      </c>
      <c r="AM24" s="123">
        <f>MAX(AM20:AM23)+1</f>
        <v>13</v>
      </c>
      <c r="AN24" s="123">
        <f>MAX(AN20:AN23)+1</f>
        <v>8</v>
      </c>
      <c r="AO24" s="123">
        <f>MAX(AO20:AO23)+1</f>
        <v>10.730582524271846</v>
      </c>
      <c r="AP24" s="123">
        <f>MAX(AP20:AP23)+1</f>
        <v>97305934.407620698</v>
      </c>
      <c r="AT24" s="126">
        <f>MAX(AT20:AT23)-MIN(AT20:AT23)+1</f>
        <v>1</v>
      </c>
      <c r="AU24" s="126">
        <f>MAX(AU20:AU23)-MIN(AU20:AU23)+1</f>
        <v>2</v>
      </c>
      <c r="AV24" s="126">
        <f>MAX(AV20:AV23)-MIN(AV20:AV23)+1</f>
        <v>2</v>
      </c>
      <c r="AW24" s="126">
        <f>MAX(AW20:AW23)-MIN(AW20:AW23)+1</f>
        <v>2</v>
      </c>
      <c r="AY24" s="126">
        <f>MAX(AY20:AY23)-MIN(AY20:AY23)+1</f>
        <v>1</v>
      </c>
      <c r="AZ24" s="126">
        <f>MAX(AZ20:AZ23)+1</f>
        <v>51.5</v>
      </c>
      <c r="BB24" s="126">
        <f>MAX(BB20:BB23)-MIN(BB20:BB23)+1</f>
        <v>1</v>
      </c>
      <c r="BC24" s="126">
        <f>MAX(BC20:BC23)-MIN(BC20:BC23)+1</f>
        <v>2</v>
      </c>
      <c r="BD24" s="126">
        <f>MAX(BD20:BD23)-MIN(BD20:BD23)+1</f>
        <v>2</v>
      </c>
      <c r="BE24" s="126">
        <f>MAX(BE20:BE23)-MIN(BE20:BE23)+1</f>
        <v>2</v>
      </c>
      <c r="BG24" s="126">
        <f>MAX(BG20:BG23)-MIN(BG20:BG23)+1</f>
        <v>1</v>
      </c>
      <c r="BH24" s="126">
        <f>MAX(BH20:BH23)+1</f>
        <v>51.5</v>
      </c>
      <c r="BL24" s="21"/>
      <c r="BM24" s="21"/>
      <c r="BN24" s="21"/>
      <c r="BO24" s="21"/>
      <c r="BP24" s="112"/>
      <c r="BQ24" s="112"/>
      <c r="BR24" s="21"/>
      <c r="BS24" s="21"/>
      <c r="BT24" s="21"/>
      <c r="BU24" s="21"/>
      <c r="BV24" s="21"/>
      <c r="BW24" s="112"/>
      <c r="BX24" s="112"/>
      <c r="BY24" s="21"/>
      <c r="BZ24" s="21"/>
      <c r="CA24" s="21"/>
      <c r="CB24" s="21"/>
      <c r="CC24" s="21"/>
      <c r="CD24" s="114"/>
      <c r="CE24" s="115"/>
      <c r="CF24" s="132"/>
      <c r="CG24" s="26" t="str">
        <f>IF(CD32&gt;CD33,BZ32,IF(CD32&lt;CD33,BZ33,""))</f>
        <v>Spain</v>
      </c>
      <c r="CH24" s="62">
        <v>2</v>
      </c>
      <c r="CI24" s="64"/>
      <c r="CJ24" s="27"/>
      <c r="CK24" s="113">
        <f>IF(CK23="","",CH24*1000+CI24*10+CJ24)</f>
        <v>2000</v>
      </c>
    </row>
    <row r="25" spans="1:95" x14ac:dyDescent="0.25">
      <c r="A25" s="16">
        <v>19</v>
      </c>
      <c r="B25" s="17" t="str" cm="1">
        <f t="array" ref="B25">INDEX(T,18+INT(MOD(R25-1,7)),lang)</f>
        <v>Wed</v>
      </c>
      <c r="C25" s="18" t="str" cm="1">
        <f t="array" ref="C25">INDEX(T,24+MONTH(R25),lang) &amp; " " &amp; DAY(R25) &amp; ", " &amp; YEAR(R25)</f>
        <v>Jun 17, 2026</v>
      </c>
      <c r="D25" s="120">
        <f t="shared" si="7"/>
        <v>8.3333333333333329E-2</v>
      </c>
      <c r="E25" s="78" t="str">
        <f>AE62</f>
        <v>Argentina</v>
      </c>
      <c r="F25" s="19">
        <v>3</v>
      </c>
      <c r="G25" s="20">
        <v>0</v>
      </c>
      <c r="H25" s="80" t="str">
        <f>AE63</f>
        <v>Algeria</v>
      </c>
      <c r="R25" s="123">
        <f>DATE(2026,6,16)+TIME(14,0,0)+gmt_delta</f>
        <v>46190.083333333336</v>
      </c>
      <c r="S25" s="127" t="str">
        <f t="shared" si="1"/>
        <v>Argentina_win</v>
      </c>
      <c r="T25" s="127" t="str">
        <f t="shared" si="2"/>
        <v>Algeria_lose</v>
      </c>
      <c r="U25" s="123">
        <f t="shared" si="8"/>
        <v>0</v>
      </c>
      <c r="V25" s="123">
        <f t="shared" si="3"/>
        <v>0</v>
      </c>
      <c r="W25" s="123">
        <f t="shared" si="4"/>
        <v>0</v>
      </c>
      <c r="X25" s="123">
        <f t="shared" si="9"/>
        <v>0</v>
      </c>
      <c r="Y25" s="123">
        <f t="shared" si="10"/>
        <v>0</v>
      </c>
      <c r="Z25" s="123">
        <f t="shared" si="11"/>
        <v>0</v>
      </c>
      <c r="AA25" s="123">
        <f t="shared" si="5"/>
        <v>0</v>
      </c>
      <c r="AB25" s="123">
        <f t="shared" si="6"/>
        <v>1</v>
      </c>
      <c r="BK25" s="21" t="str" cm="1">
        <f t="array" ref="BK25">INDEX(T,24+MONTH(BP25),lang) &amp; " " &amp; DAY(BP25) &amp; ", " &amp; YEAR(BP25) &amp; "   " &amp; (IF(HOUR(BP25)&lt;10,0,"")&amp;HOUR(BP25)) &amp; ":" &amp;  (IF(MINUTE(BP25)&lt;10,0,"")&amp;MINUTE(BP25))</f>
        <v>Jul 3, 2026   00:00</v>
      </c>
      <c r="BL25" s="21"/>
      <c r="BM25" s="21"/>
      <c r="BN25" s="21"/>
      <c r="BO25" s="29"/>
      <c r="BP25" s="112">
        <f>DATE(2026,7,2)+TIME(12,0,0)+gmt_delta</f>
        <v>46206</v>
      </c>
      <c r="BQ25" s="112"/>
      <c r="BR25" s="21"/>
      <c r="BS25" s="21"/>
      <c r="BT25" s="21"/>
      <c r="BU25" s="21"/>
      <c r="BV25" s="21"/>
      <c r="BW25" s="112"/>
      <c r="BX25" s="112"/>
      <c r="BY25" s="21"/>
      <c r="BZ25" s="21"/>
      <c r="CA25" s="21"/>
      <c r="CB25" s="21"/>
      <c r="CC25" s="21"/>
      <c r="CD25" s="114"/>
      <c r="CE25" s="112"/>
      <c r="CF25" s="21"/>
      <c r="CG25" s="21"/>
      <c r="CH25" s="21"/>
      <c r="CI25" s="21"/>
      <c r="CJ25" s="21"/>
      <c r="CK25" s="114"/>
      <c r="CL25" s="112"/>
      <c r="CM25" s="21"/>
      <c r="CN25" s="21"/>
      <c r="CO25" s="21"/>
      <c r="CP25" s="21"/>
      <c r="CQ25" s="21"/>
    </row>
    <row r="26" spans="1:95" x14ac:dyDescent="0.25">
      <c r="A26" s="16">
        <v>20</v>
      </c>
      <c r="B26" s="17" t="str" cm="1">
        <f t="array" ref="B26">INDEX(T,18+INT(MOD(R26-1,7)),lang)</f>
        <v>Wed</v>
      </c>
      <c r="C26" s="18" t="str" cm="1">
        <f t="array" ref="C26">INDEX(T,24+MONTH(R26),lang) &amp; " " &amp; DAY(R26) &amp; ", " &amp; YEAR(R26)</f>
        <v>Jun 17, 2026</v>
      </c>
      <c r="D26" s="120">
        <f t="shared" si="7"/>
        <v>0.20833333333333334</v>
      </c>
      <c r="E26" s="78" t="str">
        <f>AE64</f>
        <v>Austria</v>
      </c>
      <c r="F26" s="19">
        <v>3</v>
      </c>
      <c r="G26" s="20">
        <v>1</v>
      </c>
      <c r="H26" s="80" t="str">
        <f>AE65</f>
        <v>Jordan</v>
      </c>
      <c r="J26" s="38" t="str" cm="1">
        <f t="array" ref="J26">INDEX(T,9,lang) &amp; " " &amp; "D"</f>
        <v>Group D</v>
      </c>
      <c r="K26" s="94" t="str" cm="1">
        <f t="array" ref="K26">INDEX(T,10,lang)</f>
        <v>PL</v>
      </c>
      <c r="L26" s="94" t="str" cm="1">
        <f t="array" ref="L26">INDEX(T,11,lang)</f>
        <v>W</v>
      </c>
      <c r="M26" s="94" t="str" cm="1">
        <f t="array" ref="M26">INDEX(T,12,lang)</f>
        <v>DRAW</v>
      </c>
      <c r="N26" s="94" t="str" cm="1">
        <f t="array" ref="N26">INDEX(T,13,lang)</f>
        <v>L</v>
      </c>
      <c r="O26" s="94" t="str" cm="1">
        <f t="array" ref="O26">INDEX(T,14,lang)</f>
        <v>GF - GA</v>
      </c>
      <c r="P26" s="95" t="str" cm="1">
        <f t="array" ref="P26">INDEX(T,15,lang)</f>
        <v>PNT</v>
      </c>
      <c r="R26" s="123">
        <f>DATE(2026,6,16)+TIME(17,0,0)+gmt_delta</f>
        <v>46190.208333333336</v>
      </c>
      <c r="S26" s="127" t="str">
        <f t="shared" si="1"/>
        <v>Austria_win</v>
      </c>
      <c r="T26" s="127" t="str">
        <f t="shared" si="2"/>
        <v>Jordan_lose</v>
      </c>
      <c r="U26" s="123">
        <f t="shared" si="8"/>
        <v>0</v>
      </c>
      <c r="V26" s="123">
        <f t="shared" si="3"/>
        <v>0</v>
      </c>
      <c r="W26" s="123">
        <f t="shared" si="4"/>
        <v>0</v>
      </c>
      <c r="X26" s="123">
        <f t="shared" si="9"/>
        <v>0</v>
      </c>
      <c r="Y26" s="123">
        <f t="shared" si="10"/>
        <v>0</v>
      </c>
      <c r="Z26" s="123">
        <f t="shared" si="11"/>
        <v>0</v>
      </c>
      <c r="AA26" s="123">
        <f t="shared" si="5"/>
        <v>0</v>
      </c>
      <c r="AB26" s="123">
        <f t="shared" si="6"/>
        <v>1</v>
      </c>
      <c r="AD26" s="123">
        <f>COUNTIF(AR26:AR29,CONCATENATE("&gt;=",AR26))</f>
        <v>1</v>
      </c>
      <c r="AE26" s="124" t="str">
        <f>VLOOKUP("United States",T,lang,FALSE)</f>
        <v>United States</v>
      </c>
      <c r="AF26" s="123">
        <f>COUNTIF($S$7:$T$78,"=" &amp; AE26 &amp; "_win")</f>
        <v>2</v>
      </c>
      <c r="AG26" s="123">
        <f>COUNTIF($S$7:$T$78,"=" &amp; AE26 &amp; "_draw")</f>
        <v>0</v>
      </c>
      <c r="AH26" s="123">
        <f>COUNTIF($S$7:$T$78,"=" &amp; AE26 &amp; "_lose")</f>
        <v>1</v>
      </c>
      <c r="AI26" s="123">
        <f>SUMIF($E$7:$E$78,$AE26,$F$7:$F$78) + SUMIF($H$7:$H$78,$AE26,$G$7:$G$78)</f>
        <v>8</v>
      </c>
      <c r="AJ26" s="123">
        <f>SUMIF($E$7:$E$78,$AE26,$G$7:$G$78) + SUMIF($H$7:$H$78,$AE26,$F$7:$F$78)</f>
        <v>4</v>
      </c>
      <c r="AL26" s="123">
        <f>AI26-AJ26</f>
        <v>4</v>
      </c>
      <c r="AM26" s="123">
        <f>AL26-AL30</f>
        <v>6</v>
      </c>
      <c r="AN26" s="123">
        <f>AF26*3+AG26</f>
        <v>6</v>
      </c>
      <c r="AO26" s="123">
        <f>AN26/AN30*10+BA26</f>
        <v>8.5714285714285712</v>
      </c>
      <c r="AP26" s="123">
        <f>AO26*10000000+BI26*100+AM26/AM30*10+AI26/AI30*1++IF(AQ26=0,ROW(),AQ26)/2000000</f>
        <v>85714295.175439745</v>
      </c>
      <c r="AQ26" s="126">
        <f>VLOOKUP(AE26,db_fifarank,2,FALSE)</f>
        <v>1673.13</v>
      </c>
      <c r="AR26" s="125">
        <f>AP26/AP30</f>
        <v>0.99999998833333481</v>
      </c>
      <c r="AS26" s="125" t="str">
        <f>IF(SUM(AF26:AH29)=12,J27,"1D")</f>
        <v>United States</v>
      </c>
      <c r="AT26" s="126" cm="1">
        <f t="array" ref="AT26">SUMPRODUCT(($S$7:$S$78=AE26&amp;"_win")*($U$7:$U$78))+SUMPRODUCT(($T$7:$T$78=AE26&amp;"_win")*($U$7:$U$78))</f>
        <v>0</v>
      </c>
      <c r="AU26" s="126" cm="1">
        <f t="array" ref="AU26">SUMPRODUCT(($S$7:$S$78=AE26&amp;"_draw")*($U$7:$U$78))+SUMPRODUCT(($T$7:$T$78=AE26&amp;"_draw")*($U$7:$U$78))</f>
        <v>0</v>
      </c>
      <c r="AV26" s="126" cm="1">
        <f t="array" ref="AV26">SUMPRODUCT(($E$7:$E$78=AE26)*($U$7:$U$78)*($F$7:$F$78))+SUMPRODUCT(($H$7:$H$78=AE26)*($U$7:$U$78)*($G$7:$G$78))</f>
        <v>0</v>
      </c>
      <c r="AW26" s="126" cm="1">
        <f t="array" ref="AW26">SUMPRODUCT(($E$7:$E$78=AE26)*($U$7:$U$78)*($G$7:$G$78))+SUMPRODUCT(($H$7:$H$78=AE26)*($U$7:$U$78)*($F$7:$F$78))</f>
        <v>0</v>
      </c>
      <c r="AX26" s="126">
        <f>AV26-AW26</f>
        <v>0</v>
      </c>
      <c r="AY26" s="126">
        <f>AX26-MIN(AX26:AX29)</f>
        <v>0</v>
      </c>
      <c r="AZ26" s="126">
        <f>AT26/AT30*1000+AU26/AU30*100+AY26/AY30*10+AV26/AV30</f>
        <v>0</v>
      </c>
      <c r="BA26" s="126">
        <f>AZ26/AZ30</f>
        <v>0</v>
      </c>
      <c r="BB26" s="126" cm="1">
        <f t="array" ref="BB26">SUMPRODUCT(($S$7:$S$78=AE26&amp;"_win")*($X$7:$X$78))+SUMPRODUCT(($T$7:$T$78=AE26&amp;"_win")*($X$7:$X$78))</f>
        <v>0</v>
      </c>
      <c r="BC26" s="126" cm="1">
        <f t="array" ref="BC26">SUMPRODUCT(($S$7:$S$78=AE26&amp;"_draw")*($X$7:$X$78))+SUMPRODUCT(($T$7:$T$78=AE26&amp;"_draw")*($X$7:$X$78))</f>
        <v>0</v>
      </c>
      <c r="BD26" s="126" cm="1">
        <f t="array" ref="BD26">SUMPRODUCT(($E$7:$E$78=AE26)*($X$7:$X$78)*($F$7:$F$78))+SUMPRODUCT(($H$7:$H$78=AE26)*($X$7:$X$78)*($G$7:$G$78))</f>
        <v>0</v>
      </c>
      <c r="BE26" s="126" cm="1">
        <f t="array" ref="BE26">SUMPRODUCT(($E$7:$E$78=AE26)*($X$7:$X$78)*($G$7:$G$78))+SUMPRODUCT(($H$7:$H$78=AE26)*($X$7:$X$78)*($F$7:$F$78))</f>
        <v>0</v>
      </c>
      <c r="BF26" s="126">
        <f>BD26-BE26</f>
        <v>0</v>
      </c>
      <c r="BG26" s="126">
        <f>BF26-MIN(BF26:BF29)</f>
        <v>0</v>
      </c>
      <c r="BH26" s="126">
        <f>BB26/BB30*1000+BC26/BC30*100+BG26/BG30*10+BD26/BD30</f>
        <v>0</v>
      </c>
      <c r="BI26" s="126">
        <f>BH26/BH30</f>
        <v>0</v>
      </c>
      <c r="BK26" s="131">
        <v>83</v>
      </c>
      <c r="BL26" s="24" t="str">
        <f>AS69</f>
        <v>Portugal</v>
      </c>
      <c r="BM26" s="61">
        <v>2</v>
      </c>
      <c r="BN26" s="63"/>
      <c r="BO26" s="25"/>
      <c r="BP26" s="112">
        <f>IF(OR(BM26="",BM27="",AND(BN26="",BN27&lt;&gt;""),AND(BN27="",BN26&lt;&gt;""),AND(BO26="",BO27&lt;&gt;""),AND(BO27="",BO26&lt;&gt;"")),"",BM26*1000+BN26*10+BO26)</f>
        <v>2000</v>
      </c>
      <c r="BQ26" s="112"/>
      <c r="BR26" s="21"/>
      <c r="BS26" s="21"/>
      <c r="BT26" s="21"/>
      <c r="BU26" s="21"/>
      <c r="BV26" s="21"/>
      <c r="BW26" s="112"/>
      <c r="BX26" s="112"/>
      <c r="BY26" s="21"/>
      <c r="BZ26" s="21"/>
      <c r="CA26" s="21"/>
      <c r="CB26" s="21"/>
      <c r="CC26" s="21"/>
      <c r="CD26" s="114"/>
      <c r="CE26" s="112"/>
      <c r="CF26" s="21"/>
      <c r="CG26" s="21"/>
      <c r="CH26" s="21"/>
      <c r="CI26" s="21"/>
      <c r="CJ26" s="21"/>
      <c r="CK26" s="114"/>
      <c r="CL26" s="112"/>
      <c r="CM26" s="21"/>
      <c r="CN26" s="21"/>
      <c r="CO26" s="21"/>
      <c r="CP26" s="21"/>
      <c r="CQ26" s="21"/>
    </row>
    <row r="27" spans="1:95" x14ac:dyDescent="0.25">
      <c r="A27" s="16">
        <v>21</v>
      </c>
      <c r="B27" s="17" t="str" cm="1">
        <f t="array" ref="B27">INDEX(T,18+INT(MOD(R27-1,7)),lang)</f>
        <v>Thu</v>
      </c>
      <c r="C27" s="18" t="str" cm="1">
        <f t="array" ref="C27">INDEX(T,24+MONTH(R27),lang) &amp; " " &amp; DAY(R27) &amp; ", " &amp; YEAR(R27)</f>
        <v>Jun 18, 2026</v>
      </c>
      <c r="D27" s="120">
        <f t="shared" si="7"/>
        <v>0</v>
      </c>
      <c r="E27" s="78" t="str">
        <f>AE76</f>
        <v>Ghana</v>
      </c>
      <c r="F27" s="19">
        <v>1</v>
      </c>
      <c r="G27" s="20">
        <v>0</v>
      </c>
      <c r="H27" s="80" t="str">
        <f>AE77</f>
        <v>Panama</v>
      </c>
      <c r="J27" s="30" t="str">
        <f>VLOOKUP(1,AD26:AN29,2,FALSE)</f>
        <v>United States</v>
      </c>
      <c r="K27" s="31">
        <f>L27+M27+N27</f>
        <v>3</v>
      </c>
      <c r="L27" s="31">
        <f>VLOOKUP(1,AD26:AN29,3,FALSE)</f>
        <v>2</v>
      </c>
      <c r="M27" s="31">
        <f>VLOOKUP(1,AD26:AN29,4,FALSE)</f>
        <v>0</v>
      </c>
      <c r="N27" s="31">
        <f>VLOOKUP(1,AD26:AN29,5,FALSE)</f>
        <v>1</v>
      </c>
      <c r="O27" s="31" t="str">
        <f>VLOOKUP(1,AD26:AN29,6,FALSE) &amp; " - " &amp; VLOOKUP(1,AD26:AN29,7,FALSE)</f>
        <v>8 - 4</v>
      </c>
      <c r="P27" s="32">
        <f>L27*3+M27</f>
        <v>6</v>
      </c>
      <c r="R27" s="123">
        <f>DATE(2026,6,17)+TIME(12,0,0)+gmt_delta</f>
        <v>46191</v>
      </c>
      <c r="S27" s="127" t="str">
        <f t="shared" si="1"/>
        <v>Ghana_win</v>
      </c>
      <c r="T27" s="127" t="str">
        <f t="shared" si="2"/>
        <v>Panama_lose</v>
      </c>
      <c r="U27" s="123">
        <f t="shared" si="8"/>
        <v>0</v>
      </c>
      <c r="V27" s="123">
        <f t="shared" si="3"/>
        <v>0</v>
      </c>
      <c r="W27" s="123">
        <f t="shared" si="4"/>
        <v>0</v>
      </c>
      <c r="X27" s="123">
        <f t="shared" si="9"/>
        <v>0</v>
      </c>
      <c r="Y27" s="123">
        <f t="shared" si="10"/>
        <v>0</v>
      </c>
      <c r="Z27" s="123">
        <f t="shared" si="11"/>
        <v>0</v>
      </c>
      <c r="AA27" s="123">
        <f t="shared" si="5"/>
        <v>0</v>
      </c>
      <c r="AB27" s="123">
        <f t="shared" si="6"/>
        <v>1</v>
      </c>
      <c r="AD27" s="123">
        <f>COUNTIF(AR26:AR29,CONCATENATE("&gt;=",AR27))</f>
        <v>3</v>
      </c>
      <c r="AE27" s="124" t="str">
        <f>VLOOKUP("Paraguay",T,lang,FALSE)</f>
        <v>Paraguay</v>
      </c>
      <c r="AF27" s="123">
        <f>COUNTIF($S$7:$T$78,"=" &amp; AE27 &amp; "_win")</f>
        <v>1</v>
      </c>
      <c r="AG27" s="123">
        <f>COUNTIF($S$7:$T$78,"=" &amp; AE27 &amp; "_draw")</f>
        <v>1</v>
      </c>
      <c r="AH27" s="123">
        <f>COUNTIF($S$7:$T$78,"=" &amp; AE27 &amp; "_lose")</f>
        <v>1</v>
      </c>
      <c r="AI27" s="123">
        <f>SUMIF($E$7:$E$78,$AE27,$F$7:$F$78) + SUMIF($H$7:$H$78,$AE27,$G$7:$G$78)</f>
        <v>2</v>
      </c>
      <c r="AJ27" s="123">
        <f>SUMIF($E$7:$E$78,$AE27,$G$7:$G$78) + SUMIF($H$7:$H$78,$AE27,$F$7:$F$78)</f>
        <v>4</v>
      </c>
      <c r="AL27" s="123">
        <f>AI27-AJ27</f>
        <v>-2</v>
      </c>
      <c r="AM27" s="123">
        <f>AL27-AL30</f>
        <v>0</v>
      </c>
      <c r="AN27" s="123">
        <f>AF27*3+AG27</f>
        <v>4</v>
      </c>
      <c r="AO27" s="123">
        <f>AN27/AN30*10+BA27</f>
        <v>6.6946778711484587</v>
      </c>
      <c r="AP27" s="123">
        <f>AO27*10000000+BI27*100+AM27/AM30*10+AI27/AI30*1++IF(AQ27=0,ROW(),AQ27)/2000000</f>
        <v>66946876.973674245</v>
      </c>
      <c r="AQ27" s="126">
        <f>VLOOKUP(AE27,db_fifarank,2,FALSE)</f>
        <v>1503.5</v>
      </c>
      <c r="AR27" s="125">
        <f>AP27/AP30</f>
        <v>0.78104680270193894</v>
      </c>
      <c r="AS27" s="125" t="str">
        <f>IF(SUM(AF26:AH29)=12,J28,"2D")</f>
        <v>Australia</v>
      </c>
      <c r="AT27" s="126" cm="1">
        <f t="array" ref="AT27">SUMPRODUCT(($S$7:$S$78=AE27&amp;"_win")*($U$7:$U$78))+SUMPRODUCT(($T$7:$T$78=AE27&amp;"_win")*($U$7:$U$78))</f>
        <v>0</v>
      </c>
      <c r="AU27" s="126" cm="1">
        <f t="array" ref="AU27">SUMPRODUCT(($S$7:$S$78=AE27&amp;"_draw")*($U$7:$U$78))+SUMPRODUCT(($T$7:$T$78=AE27&amp;"_draw")*($U$7:$U$78))</f>
        <v>1</v>
      </c>
      <c r="AV27" s="126" cm="1">
        <f t="array" ref="AV27">SUMPRODUCT(($E$7:$E$78=AE27)*($U$7:$U$78)*($F$7:$F$78))+SUMPRODUCT(($H$7:$H$78=AE27)*($U$7:$U$78)*($G$7:$G$78))</f>
        <v>0</v>
      </c>
      <c r="AW27" s="126" cm="1">
        <f t="array" ref="AW27">SUMPRODUCT(($E$7:$E$78=AE27)*($U$7:$U$78)*($G$7:$G$78))+SUMPRODUCT(($H$7:$H$78=AE27)*($U$7:$U$78)*($F$7:$F$78))</f>
        <v>0</v>
      </c>
      <c r="AX27" s="126">
        <f>AV27-AW27</f>
        <v>0</v>
      </c>
      <c r="AY27" s="126">
        <f>AX27-MIN(AX26:AX29)</f>
        <v>0</v>
      </c>
      <c r="AZ27" s="126">
        <f>AT27/AT30*1000+AU27/AU30*100+AY27/AY30*10+AV27/AV30</f>
        <v>50</v>
      </c>
      <c r="BA27" s="126">
        <f>AZ27/AZ30</f>
        <v>0.98039215686274506</v>
      </c>
      <c r="BB27" s="126" cm="1">
        <f t="array" ref="BB27">SUMPRODUCT(($S$7:$S$78=AE27&amp;"_win")*($X$7:$X$78))+SUMPRODUCT(($T$7:$T$78=AE27&amp;"_win")*($X$7:$X$78))</f>
        <v>0</v>
      </c>
      <c r="BC27" s="126" cm="1">
        <f t="array" ref="BC27">SUMPRODUCT(($S$7:$S$78=AE27&amp;"_draw")*($X$7:$X$78))+SUMPRODUCT(($T$7:$T$78=AE27&amp;"_draw")*($X$7:$X$78))</f>
        <v>1</v>
      </c>
      <c r="BD27" s="126" cm="1">
        <f t="array" ref="BD27">SUMPRODUCT(($E$7:$E$78=AE27)*($X$7:$X$78)*($F$7:$F$78))+SUMPRODUCT(($H$7:$H$78=AE27)*($X$7:$X$78)*($G$7:$G$78))</f>
        <v>0</v>
      </c>
      <c r="BE27" s="126" cm="1">
        <f t="array" ref="BE27">SUMPRODUCT(($E$7:$E$78=AE27)*($X$7:$X$78)*($G$7:$G$78))+SUMPRODUCT(($H$7:$H$78=AE27)*($X$7:$X$78)*($F$7:$F$78))</f>
        <v>0</v>
      </c>
      <c r="BF27" s="126">
        <f>BD27-BE27</f>
        <v>0</v>
      </c>
      <c r="BG27" s="126">
        <f>BF27-MIN(BF26:BF29)</f>
        <v>0</v>
      </c>
      <c r="BH27" s="126">
        <f>BB27/BB30*1000+BC27/BC30*100+BG27/BG30*10+BD27/BD30</f>
        <v>50</v>
      </c>
      <c r="BI27" s="126">
        <f>BH27/BH30</f>
        <v>0.98039215686274506</v>
      </c>
      <c r="BK27" s="132"/>
      <c r="BL27" s="26" t="str">
        <f>AS75</f>
        <v>Croatia</v>
      </c>
      <c r="BM27" s="62">
        <v>1</v>
      </c>
      <c r="BN27" s="64"/>
      <c r="BO27" s="27"/>
      <c r="BP27" s="113">
        <f>IF(BP26="","",BM27*1000+BN27*10+BO27)</f>
        <v>1000</v>
      </c>
      <c r="BQ27" s="112"/>
      <c r="BR27" s="21" t="str" cm="1">
        <f t="array" ref="BR27">INDEX(T,24+MONTH(BW27),lang) &amp; " " &amp; DAY(BW27) &amp; ", " &amp; YEAR(BW27) &amp; "   " &amp; (IF(HOUR(BW27)&lt;10,0,"")&amp;HOUR(BW27)) &amp; ":" &amp;  (IF(MINUTE(BW27)&lt;10,0,"")&amp;MINUTE(BW27))</f>
        <v>Jul 6, 2026   20:00</v>
      </c>
      <c r="BS27" s="21"/>
      <c r="BT27" s="21"/>
      <c r="BU27" s="21"/>
      <c r="BV27" s="28"/>
      <c r="BW27" s="112">
        <f>DATE(2026,7,6)+TIME(8,0,0)+gmt_delta</f>
        <v>46209.833333333336</v>
      </c>
      <c r="BX27" s="112"/>
      <c r="BY27" s="21"/>
      <c r="BZ27" s="21"/>
      <c r="CA27" s="21"/>
      <c r="CB27" s="21"/>
      <c r="CC27" s="21"/>
      <c r="CD27" s="114"/>
      <c r="CE27" s="112"/>
      <c r="CF27" s="21"/>
      <c r="CG27" s="21"/>
      <c r="CH27" s="21"/>
      <c r="CI27" s="21"/>
      <c r="CJ27" s="21"/>
      <c r="CK27" s="114"/>
      <c r="CL27" s="112"/>
      <c r="CM27" s="21"/>
      <c r="CN27" s="21"/>
      <c r="CO27" s="21"/>
      <c r="CP27" s="21"/>
      <c r="CQ27" s="21"/>
    </row>
    <row r="28" spans="1:95" x14ac:dyDescent="0.25">
      <c r="A28" s="16">
        <v>22</v>
      </c>
      <c r="B28" s="17" t="str" cm="1">
        <f t="array" ref="B28">INDEX(T,18+INT(MOD(R28-1,7)),lang)</f>
        <v>Wed</v>
      </c>
      <c r="C28" s="18" t="str" cm="1">
        <f t="array" ref="C28">INDEX(T,24+MONTH(R28),lang) &amp; " " &amp; DAY(R28) &amp; ", " &amp; YEAR(R28)</f>
        <v>Jun 17, 2026</v>
      </c>
      <c r="D28" s="120">
        <f t="shared" si="7"/>
        <v>0.875</v>
      </c>
      <c r="E28" s="78" t="str">
        <f>AE74</f>
        <v>England</v>
      </c>
      <c r="F28" s="19">
        <v>4</v>
      </c>
      <c r="G28" s="20">
        <v>2</v>
      </c>
      <c r="H28" s="80" t="str">
        <f>AE75</f>
        <v>Croatia</v>
      </c>
      <c r="J28" s="33" t="str">
        <f>VLOOKUP(2,AD26:AN29,2,FALSE)</f>
        <v>Australia</v>
      </c>
      <c r="K28" s="23">
        <f>L28+M28+N28</f>
        <v>3</v>
      </c>
      <c r="L28" s="23">
        <f>VLOOKUP(2,AD26:AN29,3,FALSE)</f>
        <v>1</v>
      </c>
      <c r="M28" s="23">
        <f>VLOOKUP(2,AD26:AN29,4,FALSE)</f>
        <v>1</v>
      </c>
      <c r="N28" s="23">
        <f>VLOOKUP(2,AD26:AN29,5,FALSE)</f>
        <v>1</v>
      </c>
      <c r="O28" s="23" t="str">
        <f>VLOOKUP(2,AD26:AN29,6,FALSE) &amp; " - " &amp; VLOOKUP(2,AD26:AN29,7,FALSE)</f>
        <v>2 - 2</v>
      </c>
      <c r="P28" s="34">
        <f>L28*3+M28</f>
        <v>4</v>
      </c>
      <c r="R28" s="123">
        <f>DATE(2026,6,17)+TIME(9,0,0)+gmt_delta</f>
        <v>46190.875</v>
      </c>
      <c r="S28" s="127" t="str">
        <f t="shared" si="1"/>
        <v>England_win</v>
      </c>
      <c r="T28" s="127" t="str">
        <f t="shared" si="2"/>
        <v>Croatia_lose</v>
      </c>
      <c r="U28" s="123">
        <f t="shared" si="8"/>
        <v>0</v>
      </c>
      <c r="V28" s="123">
        <f t="shared" si="3"/>
        <v>0</v>
      </c>
      <c r="W28" s="123">
        <f t="shared" si="4"/>
        <v>0</v>
      </c>
      <c r="X28" s="123">
        <f t="shared" si="9"/>
        <v>0</v>
      </c>
      <c r="Y28" s="123">
        <f t="shared" si="10"/>
        <v>0</v>
      </c>
      <c r="Z28" s="123">
        <f t="shared" si="11"/>
        <v>0</v>
      </c>
      <c r="AA28" s="123">
        <f t="shared" si="5"/>
        <v>1</v>
      </c>
      <c r="AB28" s="123">
        <f t="shared" si="6"/>
        <v>1</v>
      </c>
      <c r="AD28" s="123">
        <f>COUNTIF(AR26:AR29,CONCATENATE("&gt;=",AR28))</f>
        <v>2</v>
      </c>
      <c r="AE28" s="124" t="str">
        <f>VLOOKUP("Australia",T,lang,FALSE)</f>
        <v>Australia</v>
      </c>
      <c r="AF28" s="123">
        <f>COUNTIF($S$7:$T$78,"=" &amp; AE28 &amp; "_win")</f>
        <v>1</v>
      </c>
      <c r="AG28" s="123">
        <f>COUNTIF($S$7:$T$78,"=" &amp; AE28 &amp; "_draw")</f>
        <v>1</v>
      </c>
      <c r="AH28" s="123">
        <f>COUNTIF($S$7:$T$78,"=" &amp; AE28 &amp; "_lose")</f>
        <v>1</v>
      </c>
      <c r="AI28" s="123">
        <f>SUMIF($E$7:$E$78,$AE28,$F$7:$F$78) + SUMIF($H$7:$H$78,$AE28,$G$7:$G$78)</f>
        <v>2</v>
      </c>
      <c r="AJ28" s="123">
        <f>SUMIF($E$7:$E$78,$AE28,$G$7:$G$78) + SUMIF($H$7:$H$78,$AE28,$F$7:$F$78)</f>
        <v>2</v>
      </c>
      <c r="AL28" s="123">
        <f>AI28-AJ28</f>
        <v>0</v>
      </c>
      <c r="AM28" s="123">
        <f>AL28-AL30</f>
        <v>2</v>
      </c>
      <c r="AN28" s="123">
        <f>AF28*3+AG28</f>
        <v>4</v>
      </c>
      <c r="AO28" s="123">
        <f>AN28/AN30*10+BA28</f>
        <v>6.6946778711484587</v>
      </c>
      <c r="AP28" s="123">
        <f>AO28*10000000+BI28*100+AM28/AM30*10+AI28/AI30*1++IF(AQ28=0,ROW(),AQ28)/2000000</f>
        <v>66946879.83085569</v>
      </c>
      <c r="AQ28" s="126">
        <f>VLOOKUP(AE28,db_fifarank,2,FALSE)</f>
        <v>1580.67</v>
      </c>
      <c r="AR28" s="125">
        <f>AP28/AP30</f>
        <v>0.78104683603571834</v>
      </c>
      <c r="AT28" s="126" cm="1">
        <f t="array" ref="AT28">SUMPRODUCT(($S$7:$S$78=AE28&amp;"_win")*($U$7:$U$78))+SUMPRODUCT(($T$7:$T$78=AE28&amp;"_win")*($U$7:$U$78))</f>
        <v>0</v>
      </c>
      <c r="AU28" s="126" cm="1">
        <f t="array" ref="AU28">SUMPRODUCT(($S$7:$S$78=AE28&amp;"_draw")*($U$7:$U$78))+SUMPRODUCT(($T$7:$T$78=AE28&amp;"_draw")*($U$7:$U$78))</f>
        <v>1</v>
      </c>
      <c r="AV28" s="126" cm="1">
        <f t="array" ref="AV28">SUMPRODUCT(($E$7:$E$78=AE28)*($U$7:$U$78)*($F$7:$F$78))+SUMPRODUCT(($H$7:$H$78=AE28)*($U$7:$U$78)*($G$7:$G$78))</f>
        <v>0</v>
      </c>
      <c r="AW28" s="126" cm="1">
        <f t="array" ref="AW28">SUMPRODUCT(($E$7:$E$78=AE28)*($U$7:$U$78)*($G$7:$G$78))+SUMPRODUCT(($H$7:$H$78=AE28)*($U$7:$U$78)*($F$7:$F$78))</f>
        <v>0</v>
      </c>
      <c r="AX28" s="126">
        <f>AV28-AW28</f>
        <v>0</v>
      </c>
      <c r="AY28" s="126">
        <f>AX28-MIN(AX26:AX29)</f>
        <v>0</v>
      </c>
      <c r="AZ28" s="126">
        <f>AT28/AT30*1000+AU28/AU30*100+AY28/AY30*10+AV28/AV30</f>
        <v>50</v>
      </c>
      <c r="BA28" s="126">
        <f>AZ28/AZ30</f>
        <v>0.98039215686274506</v>
      </c>
      <c r="BB28" s="126" cm="1">
        <f t="array" ref="BB28">SUMPRODUCT(($S$7:$S$78=AE28&amp;"_win")*($X$7:$X$78))+SUMPRODUCT(($T$7:$T$78=AE28&amp;"_win")*($X$7:$X$78))</f>
        <v>0</v>
      </c>
      <c r="BC28" s="126" cm="1">
        <f t="array" ref="BC28">SUMPRODUCT(($S$7:$S$78=AE28&amp;"_draw")*($X$7:$X$78))+SUMPRODUCT(($T$7:$T$78=AE28&amp;"_draw")*($X$7:$X$78))</f>
        <v>1</v>
      </c>
      <c r="BD28" s="126" cm="1">
        <f t="array" ref="BD28">SUMPRODUCT(($E$7:$E$78=AE28)*($X$7:$X$78)*($F$7:$F$78))+SUMPRODUCT(($H$7:$H$78=AE28)*($X$7:$X$78)*($G$7:$G$78))</f>
        <v>0</v>
      </c>
      <c r="BE28" s="126" cm="1">
        <f t="array" ref="BE28">SUMPRODUCT(($E$7:$E$78=AE28)*($X$7:$X$78)*($G$7:$G$78))+SUMPRODUCT(($H$7:$H$78=AE28)*($X$7:$X$78)*($F$7:$F$78))</f>
        <v>0</v>
      </c>
      <c r="BF28" s="126">
        <f>BD28-BE28</f>
        <v>0</v>
      </c>
      <c r="BG28" s="126">
        <f>BF28-MIN(BF26:BF29)</f>
        <v>0</v>
      </c>
      <c r="BH28" s="126">
        <f>BB28/BB30*1000+BC28/BC30*100+BG28/BG30*10+BD28/BD30</f>
        <v>50</v>
      </c>
      <c r="BI28" s="126">
        <f>BH28/BH30</f>
        <v>0.98039215686274506</v>
      </c>
      <c r="BK28" s="21"/>
      <c r="BL28" s="21"/>
      <c r="BM28" s="21"/>
      <c r="BN28" s="21"/>
      <c r="BO28" s="21"/>
      <c r="BP28" s="114"/>
      <c r="BQ28" s="112"/>
      <c r="BR28" s="131">
        <v>93</v>
      </c>
      <c r="BS28" s="24" t="str">
        <f>IF(BP26&gt;BP27,BL26,IF(BP26&lt;BP27,BL27,""))</f>
        <v>Portugal</v>
      </c>
      <c r="BT28" s="61">
        <v>0</v>
      </c>
      <c r="BU28" s="63"/>
      <c r="BV28" s="25"/>
      <c r="BW28" s="112">
        <f>IF(OR(BT28="",BT29="",AND(BU28="",BU29&lt;&gt;""),AND(BU29="",BU28&lt;&gt;""),AND(BV28="",BV29&lt;&gt;""),AND(BV29="",BV28&lt;&gt;"")),"",BT28*1000+BU28*10+BV28)</f>
        <v>0</v>
      </c>
      <c r="BX28" s="112"/>
      <c r="BY28" s="21"/>
      <c r="BZ28" s="21"/>
      <c r="CA28" s="21"/>
      <c r="CB28" s="21"/>
      <c r="CC28" s="21"/>
      <c r="CD28" s="114"/>
      <c r="CE28" s="112"/>
      <c r="CF28" s="21"/>
      <c r="CG28" s="21"/>
      <c r="CH28" s="21"/>
      <c r="CI28" s="21"/>
      <c r="CJ28" s="21"/>
      <c r="CK28" s="114"/>
      <c r="CL28" s="112"/>
    </row>
    <row r="29" spans="1:95" x14ac:dyDescent="0.25">
      <c r="A29" s="16">
        <v>23</v>
      </c>
      <c r="B29" s="17" t="str" cm="1">
        <f t="array" ref="B29">INDEX(T,18+INT(MOD(R29-1,7)),lang)</f>
        <v>Wed</v>
      </c>
      <c r="C29" s="18" t="str" cm="1">
        <f t="array" ref="C29">INDEX(T,24+MONTH(R29),lang) &amp; " " &amp; DAY(R29) &amp; ", " &amp; YEAR(R29)</f>
        <v>Jun 17, 2026</v>
      </c>
      <c r="D29" s="120">
        <f t="shared" si="7"/>
        <v>0.75</v>
      </c>
      <c r="E29" s="78" t="str">
        <f>AE68</f>
        <v>Portugal</v>
      </c>
      <c r="F29" s="19">
        <v>1</v>
      </c>
      <c r="G29" s="20">
        <v>1</v>
      </c>
      <c r="H29" s="80" t="str">
        <f>AE69</f>
        <v>DR Congo</v>
      </c>
      <c r="J29" s="33" t="str">
        <f>VLOOKUP(3,AD26:AN29,2,FALSE)</f>
        <v>Paraguay</v>
      </c>
      <c r="K29" s="23">
        <f>L29+M29+N29</f>
        <v>3</v>
      </c>
      <c r="L29" s="23">
        <f>VLOOKUP(3,AD26:AN29,3,FALSE)</f>
        <v>1</v>
      </c>
      <c r="M29" s="23">
        <f>VLOOKUP(3,AD26:AN29,4,FALSE)</f>
        <v>1</v>
      </c>
      <c r="N29" s="23">
        <f>VLOOKUP(3,AD26:AN29,5,FALSE)</f>
        <v>1</v>
      </c>
      <c r="O29" s="23" t="str">
        <f>VLOOKUP(3,AD26:AN29,6,FALSE) &amp; " - " &amp; VLOOKUP(3,AD26:AN29,7,FALSE)</f>
        <v>2 - 4</v>
      </c>
      <c r="P29" s="34">
        <f>L29*3+M29</f>
        <v>4</v>
      </c>
      <c r="R29" s="123">
        <f>DATE(2026,6,17)+TIME(6,0,0)+gmt_delta</f>
        <v>46190.75</v>
      </c>
      <c r="S29" s="127" t="str">
        <f t="shared" si="1"/>
        <v>Portugal_draw</v>
      </c>
      <c r="T29" s="127" t="str">
        <f t="shared" si="2"/>
        <v>DR Congo_draw</v>
      </c>
      <c r="U29" s="123">
        <f t="shared" si="8"/>
        <v>0</v>
      </c>
      <c r="V29" s="123">
        <f t="shared" si="3"/>
        <v>0</v>
      </c>
      <c r="W29" s="123">
        <f t="shared" si="4"/>
        <v>0</v>
      </c>
      <c r="X29" s="123">
        <f t="shared" si="9"/>
        <v>0</v>
      </c>
      <c r="Y29" s="123">
        <f t="shared" si="10"/>
        <v>0</v>
      </c>
      <c r="Z29" s="123">
        <f t="shared" si="11"/>
        <v>0</v>
      </c>
      <c r="AA29" s="123">
        <f t="shared" si="5"/>
        <v>0</v>
      </c>
      <c r="AB29" s="123">
        <f t="shared" si="6"/>
        <v>0</v>
      </c>
      <c r="AD29" s="123">
        <f>COUNTIF(AR26:AR29,CONCATENATE("&gt;=",AR29))</f>
        <v>4</v>
      </c>
      <c r="AE29" s="124" t="str">
        <f>VLOOKUP("Turkey",T,lang,FALSE)</f>
        <v>Turkey</v>
      </c>
      <c r="AF29" s="123">
        <f>COUNTIF($S$7:$T$78,"=" &amp; AE29 &amp; "_win")</f>
        <v>1</v>
      </c>
      <c r="AG29" s="123">
        <f>COUNTIF($S$7:$T$78,"=" &amp; AE29 &amp; "_draw")</f>
        <v>0</v>
      </c>
      <c r="AH29" s="123">
        <f>COUNTIF($S$7:$T$78,"=" &amp; AE29 &amp; "_lose")</f>
        <v>2</v>
      </c>
      <c r="AI29" s="123">
        <f>SUMIF($E$7:$E$78,$AE29,$F$7:$F$78) + SUMIF($H$7:$H$78,$AE29,$G$7:$G$78)</f>
        <v>3</v>
      </c>
      <c r="AJ29" s="123">
        <f>SUMIF($E$7:$E$78,$AE29,$G$7:$G$78) + SUMIF($H$7:$H$78,$AE29,$F$7:$F$78)</f>
        <v>5</v>
      </c>
      <c r="AL29" s="123">
        <f>AI29-AJ29</f>
        <v>-2</v>
      </c>
      <c r="AM29" s="123">
        <f>AL29-AL30</f>
        <v>0</v>
      </c>
      <c r="AN29" s="123">
        <f>AF29*3+AG29</f>
        <v>3</v>
      </c>
      <c r="AO29" s="123">
        <f>AN29/AN30*10+BA29</f>
        <v>4.2857142857142856</v>
      </c>
      <c r="AP29" s="123">
        <f>AO29*10000000+BI29*100+AM29/AM30*10+AI29/AI30*1++IF(AQ29=0,ROW(),AQ29)/2000000</f>
        <v>42857143.191275716</v>
      </c>
      <c r="AQ29" s="126">
        <f>VLOOKUP(AE29,db_fifarank,2,FALSE)</f>
        <v>1599.04</v>
      </c>
      <c r="AR29" s="125">
        <f>AP29/AP30</f>
        <v>0.49999994287482513</v>
      </c>
      <c r="AT29" s="126" cm="1">
        <f t="array" ref="AT29">SUMPRODUCT(($S$7:$S$78=AE29&amp;"_win")*($U$7:$U$78))+SUMPRODUCT(($T$7:$T$78=AE29&amp;"_win")*($U$7:$U$78))</f>
        <v>0</v>
      </c>
      <c r="AU29" s="126" cm="1">
        <f t="array" ref="AU29">SUMPRODUCT(($S$7:$S$78=AE29&amp;"_draw")*($U$7:$U$78))+SUMPRODUCT(($T$7:$T$78=AE29&amp;"_draw")*($U$7:$U$78))</f>
        <v>0</v>
      </c>
      <c r="AV29" s="126" cm="1">
        <f t="array" ref="AV29">SUMPRODUCT(($E$7:$E$78=AE29)*($U$7:$U$78)*($F$7:$F$78))+SUMPRODUCT(($H$7:$H$78=AE29)*($U$7:$U$78)*($G$7:$G$78))</f>
        <v>0</v>
      </c>
      <c r="AW29" s="126" cm="1">
        <f t="array" ref="AW29">SUMPRODUCT(($E$7:$E$78=AE29)*($U$7:$U$78)*($G$7:$G$78))+SUMPRODUCT(($H$7:$H$78=AE29)*($U$7:$U$78)*($F$7:$F$78))</f>
        <v>0</v>
      </c>
      <c r="AX29" s="126">
        <f>AV29-AW29</f>
        <v>0</v>
      </c>
      <c r="AY29" s="126">
        <f>AX29-MIN(AX26:AX29)</f>
        <v>0</v>
      </c>
      <c r="AZ29" s="126">
        <f>AT29/AT30*1000+AU29/AU30*100+AY29/AY30*10+AV29/AV30</f>
        <v>0</v>
      </c>
      <c r="BA29" s="126">
        <f>AZ29/AZ30</f>
        <v>0</v>
      </c>
      <c r="BB29" s="126" cm="1">
        <f t="array" ref="BB29">SUMPRODUCT(($S$7:$S$78=AE29&amp;"_win")*($X$7:$X$78))+SUMPRODUCT(($T$7:$T$78=AE29&amp;"_win")*($X$7:$X$78))</f>
        <v>0</v>
      </c>
      <c r="BC29" s="126" cm="1">
        <f t="array" ref="BC29">SUMPRODUCT(($S$7:$S$78=AE29&amp;"_draw")*($X$7:$X$78))+SUMPRODUCT(($T$7:$T$78=AE29&amp;"_draw")*($X$7:$X$78))</f>
        <v>0</v>
      </c>
      <c r="BD29" s="126" cm="1">
        <f t="array" ref="BD29">SUMPRODUCT(($E$7:$E$78=AE29)*($X$7:$X$78)*($F$7:$F$78))+SUMPRODUCT(($H$7:$H$78=AE29)*($X$7:$X$78)*($G$7:$G$78))</f>
        <v>0</v>
      </c>
      <c r="BE29" s="126" cm="1">
        <f t="array" ref="BE29">SUMPRODUCT(($E$7:$E$78=AE29)*($X$7:$X$78)*($G$7:$G$78))+SUMPRODUCT(($H$7:$H$78=AE29)*($X$7:$X$78)*($F$7:$F$78))</f>
        <v>0</v>
      </c>
      <c r="BF29" s="126">
        <f>BD29-BE29</f>
        <v>0</v>
      </c>
      <c r="BG29" s="126">
        <f>BF29-MIN(BF26:BF29)</f>
        <v>0</v>
      </c>
      <c r="BH29" s="126">
        <f>BB29/BB30*1000+BC29/BC30*100+BG29/BG30*10+BD29/BD30</f>
        <v>0</v>
      </c>
      <c r="BI29" s="126">
        <f>BH29/BH30</f>
        <v>0</v>
      </c>
      <c r="BK29" s="21" t="str" cm="1">
        <f t="array" ref="BK29">INDEX(T,24+MONTH(BP29),lang) &amp; " " &amp; DAY(BP29) &amp; ", " &amp; YEAR(BP29) &amp; "   " &amp; (IF(HOUR(BP29)&lt;10,0,"")&amp;HOUR(BP29)) &amp; ":" &amp;  (IF(MINUTE(BP29)&lt;10,0,"")&amp;MINUTE(BP29))</f>
        <v>Jul 2, 2026   20:00</v>
      </c>
      <c r="BL29" s="21"/>
      <c r="BM29" s="21"/>
      <c r="BN29" s="21"/>
      <c r="BO29" s="28"/>
      <c r="BP29" s="114">
        <f>DATE(2026,7,2)+TIME(8,0,0)+gmt_delta</f>
        <v>46205.833333333336</v>
      </c>
      <c r="BQ29" s="115"/>
      <c r="BR29" s="132"/>
      <c r="BS29" s="26" t="str">
        <f>IF(BP30&gt;BP31,BL30,IF(BP30&lt;BP31,BL31,""))</f>
        <v>Spain</v>
      </c>
      <c r="BT29" s="62">
        <v>1</v>
      </c>
      <c r="BU29" s="64"/>
      <c r="BV29" s="27"/>
      <c r="BW29" s="113">
        <f>IF(BW28="","",BT29*1000+BU29*10+BV29)</f>
        <v>1000</v>
      </c>
      <c r="BX29" s="112"/>
      <c r="BY29" s="21"/>
      <c r="BZ29" s="21"/>
      <c r="CA29" s="21"/>
      <c r="CB29" s="21"/>
      <c r="CC29" s="21"/>
      <c r="CD29" s="114"/>
      <c r="CE29" s="112"/>
      <c r="CF29" s="21"/>
      <c r="CG29" s="21"/>
      <c r="CH29" s="21"/>
      <c r="CI29" s="21"/>
      <c r="CJ29" s="21"/>
      <c r="CK29" s="114"/>
      <c r="CL29" s="112"/>
    </row>
    <row r="30" spans="1:95" x14ac:dyDescent="0.25">
      <c r="A30" s="16">
        <v>24</v>
      </c>
      <c r="B30" s="17" t="str" cm="1">
        <f t="array" ref="B30">INDEX(T,18+INT(MOD(R30-1,7)),lang)</f>
        <v>Thu</v>
      </c>
      <c r="C30" s="18" t="str" cm="1">
        <f t="array" ref="C30">INDEX(T,24+MONTH(R30),lang) &amp; " " &amp; DAY(R30) &amp; ", " &amp; YEAR(R30)</f>
        <v>Jun 18, 2026</v>
      </c>
      <c r="D30" s="120">
        <f t="shared" si="7"/>
        <v>0.125</v>
      </c>
      <c r="E30" s="78" t="str">
        <f>AE70</f>
        <v>Uzbekistan</v>
      </c>
      <c r="F30" s="19">
        <v>1</v>
      </c>
      <c r="G30" s="20">
        <v>3</v>
      </c>
      <c r="H30" s="80" t="str">
        <f>AE71</f>
        <v>Colombia</v>
      </c>
      <c r="J30" s="35" t="str">
        <f>VLOOKUP(4,AD26:AN29,2,FALSE)</f>
        <v>Turkey</v>
      </c>
      <c r="K30" s="36">
        <f>L30+M30+N30</f>
        <v>3</v>
      </c>
      <c r="L30" s="36">
        <f>VLOOKUP(4,AD26:AN29,3,FALSE)</f>
        <v>1</v>
      </c>
      <c r="M30" s="36">
        <f>VLOOKUP(4,AD26:AN29,4,FALSE)</f>
        <v>0</v>
      </c>
      <c r="N30" s="36">
        <f>VLOOKUP(4,AD26:AN29,5,FALSE)</f>
        <v>2</v>
      </c>
      <c r="O30" s="36" t="str">
        <f>VLOOKUP(4,AD26:AN29,6,FALSE) &amp; " - " &amp; VLOOKUP(4,AD26:AN29,7,FALSE)</f>
        <v>3 - 5</v>
      </c>
      <c r="P30" s="37">
        <f>L30*3+M30</f>
        <v>3</v>
      </c>
      <c r="R30" s="123">
        <f>DATE(2026,6,17)+TIME(15,0,0)+gmt_delta</f>
        <v>46191.125</v>
      </c>
      <c r="S30" s="127" t="str">
        <f t="shared" si="1"/>
        <v>Uzbekistan_lose</v>
      </c>
      <c r="T30" s="127" t="str">
        <f t="shared" si="2"/>
        <v>Colombia_win</v>
      </c>
      <c r="U30" s="123">
        <f t="shared" si="8"/>
        <v>0</v>
      </c>
      <c r="V30" s="123">
        <f t="shared" si="3"/>
        <v>0</v>
      </c>
      <c r="W30" s="123">
        <f t="shared" si="4"/>
        <v>0</v>
      </c>
      <c r="X30" s="123">
        <f t="shared" si="9"/>
        <v>0</v>
      </c>
      <c r="Y30" s="123">
        <f t="shared" si="10"/>
        <v>0</v>
      </c>
      <c r="Z30" s="123">
        <f t="shared" si="11"/>
        <v>0</v>
      </c>
      <c r="AA30" s="123">
        <f t="shared" si="5"/>
        <v>0</v>
      </c>
      <c r="AB30" s="123">
        <f t="shared" si="6"/>
        <v>-1</v>
      </c>
      <c r="AF30" s="123">
        <f t="shared" ref="AF30:AH30" si="15">MAX(AF26:AF29)-MIN(AF26:AF29)+1</f>
        <v>2</v>
      </c>
      <c r="AG30" s="123">
        <f t="shared" si="15"/>
        <v>2</v>
      </c>
      <c r="AH30" s="123">
        <f t="shared" si="15"/>
        <v>2</v>
      </c>
      <c r="AI30" s="123">
        <f>MAX(AI26:AI29)+1</f>
        <v>9</v>
      </c>
      <c r="AL30" s="123">
        <f>MIN(AL26:AL29)</f>
        <v>-2</v>
      </c>
      <c r="AM30" s="123">
        <f>MAX(AM26:AM29)+1</f>
        <v>7</v>
      </c>
      <c r="AN30" s="123">
        <f>MAX(AN26:AN29)+1</f>
        <v>7</v>
      </c>
      <c r="AO30" s="123">
        <f>MAX(AO26:AO29)+1</f>
        <v>9.5714285714285712</v>
      </c>
      <c r="AP30" s="123">
        <f>MAX(AP26:AP29)+1</f>
        <v>85714296.175439745</v>
      </c>
      <c r="AT30" s="126">
        <f>MAX(AT26:AT29)-MIN(AT26:AT29)+1</f>
        <v>1</v>
      </c>
      <c r="AU30" s="126">
        <f>MAX(AU26:AU29)-MIN(AU26:AU29)+1</f>
        <v>2</v>
      </c>
      <c r="AV30" s="126">
        <f>MAX(AV26:AV29)-MIN(AV26:AV29)+1</f>
        <v>1</v>
      </c>
      <c r="AW30" s="126">
        <f>MAX(AW26:AW29)-MIN(AW26:AW29)+1</f>
        <v>1</v>
      </c>
      <c r="AY30" s="126">
        <f>MAX(AY26:AY29)-MIN(AY26:AY29)+1</f>
        <v>1</v>
      </c>
      <c r="AZ30" s="126">
        <f>MAX(AZ26:AZ29)+1</f>
        <v>51</v>
      </c>
      <c r="BB30" s="126">
        <f>MAX(BB26:BB29)-MIN(BB26:BB29)+1</f>
        <v>1</v>
      </c>
      <c r="BC30" s="126">
        <f>MAX(BC26:BC29)-MIN(BC26:BC29)+1</f>
        <v>2</v>
      </c>
      <c r="BD30" s="126">
        <f>MAX(BD26:BD29)-MIN(BD26:BD29)+1</f>
        <v>1</v>
      </c>
      <c r="BE30" s="126">
        <f>MAX(BE26:BE29)-MIN(BE26:BE29)+1</f>
        <v>1</v>
      </c>
      <c r="BG30" s="126">
        <f>MAX(BG26:BG29)-MIN(BG26:BG29)+1</f>
        <v>1</v>
      </c>
      <c r="BH30" s="126">
        <f>MAX(BH26:BH29)+1</f>
        <v>51</v>
      </c>
      <c r="BK30" s="131">
        <v>84</v>
      </c>
      <c r="BL30" s="24" t="str">
        <f>AS50</f>
        <v>Spain</v>
      </c>
      <c r="BM30" s="61">
        <v>3</v>
      </c>
      <c r="BN30" s="63"/>
      <c r="BO30" s="25"/>
      <c r="BP30" s="116">
        <f>IF(OR(BM30="",BM31="",AND(BN30="",BN31&lt;&gt;""),AND(BN31="",BN30&lt;&gt;""),AND(BO30="",BO31&lt;&gt;""),AND(BO31="",BO30&lt;&gt;"")),"",BM30*1000+BN30*10+BO30)</f>
        <v>3000</v>
      </c>
      <c r="BQ30" s="112"/>
      <c r="BR30" s="21"/>
      <c r="BS30" s="21"/>
      <c r="BT30" s="21"/>
      <c r="BU30" s="21"/>
      <c r="BV30" s="21"/>
      <c r="BW30" s="114"/>
      <c r="BX30" s="112"/>
      <c r="BY30" s="21"/>
      <c r="BZ30" s="21"/>
      <c r="CA30" s="21"/>
      <c r="CB30" s="21"/>
      <c r="CC30" s="21"/>
      <c r="CD30" s="114"/>
      <c r="CE30" s="112"/>
      <c r="CF30" s="21"/>
      <c r="CG30" s="21"/>
      <c r="CH30" s="21"/>
      <c r="CI30" s="21"/>
      <c r="CJ30" s="21"/>
      <c r="CK30" s="114"/>
      <c r="CL30" s="112"/>
    </row>
    <row r="31" spans="1:95" ht="15" customHeight="1" x14ac:dyDescent="0.25">
      <c r="A31" s="16">
        <v>25</v>
      </c>
      <c r="B31" s="17" t="str" cm="1">
        <f t="array" ref="B31">INDEX(T,18+INT(MOD(R31-1,7)),lang)</f>
        <v>Thu</v>
      </c>
      <c r="C31" s="18" t="str" cm="1">
        <f t="array" ref="C31">INDEX(T,24+MONTH(R31),lang) &amp; " " &amp; DAY(R31) &amp; ", " &amp; YEAR(R31)</f>
        <v>Jun 18, 2026</v>
      </c>
      <c r="D31" s="120">
        <f t="shared" si="7"/>
        <v>0.70833333333333337</v>
      </c>
      <c r="E31" s="78" t="str">
        <f>AE11</f>
        <v>Czech Republic</v>
      </c>
      <c r="F31" s="19">
        <v>1</v>
      </c>
      <c r="G31" s="20">
        <v>1</v>
      </c>
      <c r="H31" s="80" t="str">
        <f>AE9</f>
        <v>South Africa</v>
      </c>
      <c r="R31" s="123">
        <f>DATE(2026,6,18)+TIME(5,0,0)+gmt_delta</f>
        <v>46191.708333333336</v>
      </c>
      <c r="S31" s="127" t="str">
        <f t="shared" si="1"/>
        <v>Czech Republic_draw</v>
      </c>
      <c r="T31" s="127" t="str">
        <f t="shared" si="2"/>
        <v>South Africa_draw</v>
      </c>
      <c r="U31" s="123">
        <f t="shared" si="8"/>
        <v>0</v>
      </c>
      <c r="V31" s="123">
        <f t="shared" si="3"/>
        <v>0</v>
      </c>
      <c r="W31" s="123">
        <f t="shared" si="4"/>
        <v>0</v>
      </c>
      <c r="X31" s="123">
        <f t="shared" si="9"/>
        <v>0</v>
      </c>
      <c r="Y31" s="123">
        <f t="shared" si="10"/>
        <v>0</v>
      </c>
      <c r="Z31" s="123">
        <f t="shared" si="11"/>
        <v>0</v>
      </c>
      <c r="AA31" s="123">
        <f t="shared" si="5"/>
        <v>0</v>
      </c>
      <c r="AB31" s="123">
        <f t="shared" si="6"/>
        <v>0</v>
      </c>
      <c r="BK31" s="132"/>
      <c r="BL31" s="26" t="str">
        <f>AS63</f>
        <v>Austria</v>
      </c>
      <c r="BM31" s="62">
        <v>0</v>
      </c>
      <c r="BN31" s="64"/>
      <c r="BO31" s="27"/>
      <c r="BP31" s="112">
        <f>IF(BP30="","",BM31*1000+BN31*10+BO31)</f>
        <v>0</v>
      </c>
      <c r="BQ31" s="112"/>
      <c r="BR31" s="21"/>
      <c r="BS31" s="21"/>
      <c r="BT31" s="21"/>
      <c r="BU31" s="21"/>
      <c r="BV31" s="21"/>
      <c r="BW31" s="114"/>
      <c r="BX31" s="112"/>
      <c r="BY31" s="21" t="str" cm="1">
        <f t="array" ref="BY31">INDEX(T,24+MONTH(CD31),lang) &amp; " " &amp; DAY(CD31) &amp; ", " &amp; YEAR(CD31) &amp; "   " &amp; (IF(HOUR(CD31)&lt;10,0,"")&amp;HOUR(CD31)) &amp; ":" &amp;  (IF(MINUTE(CD31)&lt;10,0,"")&amp;MINUTE(CD31))</f>
        <v>Jul 10, 2026   20:00</v>
      </c>
      <c r="BZ31" s="21"/>
      <c r="CA31" s="21"/>
      <c r="CB31" s="21"/>
      <c r="CC31" s="28"/>
      <c r="CD31" s="114">
        <f>DATE(2026,7,10)+TIME(8,0,0)+gmt_delta</f>
        <v>46213.833333333336</v>
      </c>
      <c r="CE31" s="112"/>
      <c r="CK31" s="114"/>
      <c r="CL31" s="112"/>
    </row>
    <row r="32" spans="1:95" ht="15" customHeight="1" x14ac:dyDescent="0.25">
      <c r="A32" s="16">
        <v>26</v>
      </c>
      <c r="B32" s="17" t="str" cm="1">
        <f t="array" ref="B32">INDEX(T,18+INT(MOD(R32-1,7)),lang)</f>
        <v>Thu</v>
      </c>
      <c r="C32" s="18" t="str" cm="1">
        <f t="array" ref="C32">INDEX(T,24+MONTH(R32),lang) &amp; " " &amp; DAY(R32) &amp; ", " &amp; YEAR(R32)</f>
        <v>Jun 18, 2026</v>
      </c>
      <c r="D32" s="120">
        <f t="shared" si="7"/>
        <v>0.83333333333333337</v>
      </c>
      <c r="E32" s="78" t="str">
        <f>AE17</f>
        <v>Switzerland</v>
      </c>
      <c r="F32" s="19">
        <v>4</v>
      </c>
      <c r="G32" s="20">
        <v>1</v>
      </c>
      <c r="H32" s="80" t="str">
        <f>AE15</f>
        <v>Bosnia and Herzegovina</v>
      </c>
      <c r="J32" s="38" t="str" cm="1">
        <f t="array" ref="J32">INDEX(T,9,lang) &amp; " " &amp; "E"</f>
        <v>Group E</v>
      </c>
      <c r="K32" s="94" t="str" cm="1">
        <f t="array" ref="K32">INDEX(T,10,lang)</f>
        <v>PL</v>
      </c>
      <c r="L32" s="94" t="str" cm="1">
        <f t="array" ref="L32">INDEX(T,11,lang)</f>
        <v>W</v>
      </c>
      <c r="M32" s="94" t="str" cm="1">
        <f t="array" ref="M32">INDEX(T,12,lang)</f>
        <v>DRAW</v>
      </c>
      <c r="N32" s="94" t="str" cm="1">
        <f t="array" ref="N32">INDEX(T,13,lang)</f>
        <v>L</v>
      </c>
      <c r="O32" s="94" t="str" cm="1">
        <f t="array" ref="O32">INDEX(T,14,lang)</f>
        <v>GF - GA</v>
      </c>
      <c r="P32" s="95" t="str" cm="1">
        <f t="array" ref="P32">INDEX(T,15,lang)</f>
        <v>PNT</v>
      </c>
      <c r="R32" s="123">
        <f>DATE(2026,6,18)+TIME(8,0,0)+gmt_delta</f>
        <v>46191.833333333336</v>
      </c>
      <c r="S32" s="127" t="str">
        <f t="shared" si="1"/>
        <v>Switzerland_win</v>
      </c>
      <c r="T32" s="127" t="str">
        <f t="shared" si="2"/>
        <v>Bosnia and Herzegovina_lose</v>
      </c>
      <c r="U32" s="123">
        <f t="shared" si="8"/>
        <v>0</v>
      </c>
      <c r="V32" s="123">
        <f t="shared" si="3"/>
        <v>0</v>
      </c>
      <c r="W32" s="123">
        <f t="shared" si="4"/>
        <v>0</v>
      </c>
      <c r="X32" s="123">
        <f t="shared" si="9"/>
        <v>0</v>
      </c>
      <c r="Y32" s="123">
        <f t="shared" si="10"/>
        <v>0</v>
      </c>
      <c r="Z32" s="123">
        <f t="shared" si="11"/>
        <v>0</v>
      </c>
      <c r="AA32" s="123">
        <f t="shared" si="5"/>
        <v>0</v>
      </c>
      <c r="AB32" s="123">
        <f t="shared" si="6"/>
        <v>1</v>
      </c>
      <c r="AD32" s="123">
        <f>COUNTIF(AR32:AR35,CONCATENATE("&gt;=",AR32))</f>
        <v>1</v>
      </c>
      <c r="AE32" s="124" t="str">
        <f>VLOOKUP("Germany",T,lang,FALSE)</f>
        <v>Germany</v>
      </c>
      <c r="AF32" s="123">
        <f>COUNTIF($S$7:$T$78,"=" &amp; AE32 &amp; "_win")</f>
        <v>2</v>
      </c>
      <c r="AG32" s="123">
        <f>COUNTIF($S$7:$T$78,"=" &amp; AE32 &amp; "_draw")</f>
        <v>0</v>
      </c>
      <c r="AH32" s="123">
        <f>COUNTIF($S$7:$T$78,"=" &amp; AE32 &amp; "_lose")</f>
        <v>1</v>
      </c>
      <c r="AI32" s="123">
        <f>SUMIF($E$7:$E$78,$AE32,$F$7:$F$78) + SUMIF($H$7:$H$78,$AE32,$G$7:$G$78)</f>
        <v>10</v>
      </c>
      <c r="AJ32" s="123">
        <f>SUMIF($E$7:$E$78,$AE32,$G$7:$G$78) + SUMIF($H$7:$H$78,$AE32,$F$7:$F$78)</f>
        <v>4</v>
      </c>
      <c r="AL32" s="123">
        <f>AI32-AJ32</f>
        <v>6</v>
      </c>
      <c r="AM32" s="123">
        <f>AL32-AL36</f>
        <v>14</v>
      </c>
      <c r="AN32" s="123">
        <f>AF32*3+AG32</f>
        <v>6</v>
      </c>
      <c r="AO32" s="123">
        <f>AN32/AN36*10+BA32</f>
        <v>9.5694613583138164</v>
      </c>
      <c r="AP32" s="123">
        <f>AO32*10000000+BI32*100+AM32/AM36*10+AI32/AI36*1++IF(AQ32=0,ROW(),AQ32)/2000000</f>
        <v>95694623.826427594</v>
      </c>
      <c r="AQ32" s="126">
        <f>VLOOKUP(AE32,db_fifarank,2,FALSE)</f>
        <v>1730.37</v>
      </c>
      <c r="AR32" s="125">
        <f>AP32/AP36</f>
        <v>0.99999998955009228</v>
      </c>
      <c r="AS32" s="125" t="str">
        <f>IF(SUM(AF32:AH35)=12,J33,"1E")</f>
        <v>Germany</v>
      </c>
      <c r="AT32" s="126" cm="1">
        <f t="array" ref="AT32">SUMPRODUCT(($S$7:$S$78=AE32&amp;"_win")*($U$7:$U$78))+SUMPRODUCT(($T$7:$T$78=AE32&amp;"_win")*($U$7:$U$78))</f>
        <v>1</v>
      </c>
      <c r="AU32" s="126" cm="1">
        <f t="array" ref="AU32">SUMPRODUCT(($S$7:$S$78=AE32&amp;"_draw")*($U$7:$U$78))+SUMPRODUCT(($T$7:$T$78=AE32&amp;"_draw")*($U$7:$U$78))</f>
        <v>0</v>
      </c>
      <c r="AV32" s="126" cm="1">
        <f t="array" ref="AV32">SUMPRODUCT(($E$7:$E$78=AE32)*($U$7:$U$78)*($F$7:$F$78))+SUMPRODUCT(($H$7:$H$78=AE32)*($U$7:$U$78)*($G$7:$G$78))</f>
        <v>2</v>
      </c>
      <c r="AW32" s="126" cm="1">
        <f t="array" ref="AW32">SUMPRODUCT(($E$7:$E$78=AE32)*($U$7:$U$78)*($G$7:$G$78))+SUMPRODUCT(($H$7:$H$78=AE32)*($U$7:$U$78)*($F$7:$F$78))</f>
        <v>1</v>
      </c>
      <c r="AX32" s="126">
        <f>AV32-AW32</f>
        <v>1</v>
      </c>
      <c r="AY32" s="126">
        <f>AX32-MIN(AX32:AX35)</f>
        <v>2</v>
      </c>
      <c r="AZ32" s="126">
        <f>AT32/AT36*1000+AU32/AU36*100+AY32/AY36*10+AV32/AV36</f>
        <v>507.33333333333337</v>
      </c>
      <c r="BA32" s="126">
        <f>AZ32/AZ36</f>
        <v>0.99803278688524588</v>
      </c>
      <c r="BB32" s="126" cm="1">
        <f t="array" ref="BB32">SUMPRODUCT(($S$7:$S$78=AE32&amp;"_win")*($X$7:$X$78))+SUMPRODUCT(($T$7:$T$78=AE32&amp;"_win")*($X$7:$X$78))</f>
        <v>0</v>
      </c>
      <c r="BC32" s="126" cm="1">
        <f t="array" ref="BC32">SUMPRODUCT(($S$7:$S$78=AE32&amp;"_draw")*($X$7:$X$78))+SUMPRODUCT(($T$7:$T$78=AE32&amp;"_draw")*($X$7:$X$78))</f>
        <v>0</v>
      </c>
      <c r="BD32" s="126" cm="1">
        <f t="array" ref="BD32">SUMPRODUCT(($E$7:$E$78=AE32)*($X$7:$X$78)*($F$7:$F$78))+SUMPRODUCT(($H$7:$H$78=AE32)*($X$7:$X$78)*($G$7:$G$78))</f>
        <v>0</v>
      </c>
      <c r="BE32" s="126" cm="1">
        <f t="array" ref="BE32">SUMPRODUCT(($E$7:$E$78=AE32)*($X$7:$X$78)*($G$7:$G$78))+SUMPRODUCT(($H$7:$H$78=AE32)*($X$7:$X$78)*($F$7:$F$78))</f>
        <v>0</v>
      </c>
      <c r="BF32" s="126">
        <f>BD32-BE32</f>
        <v>0</v>
      </c>
      <c r="BG32" s="126">
        <f>BF32-MIN(BF32:BF35)</f>
        <v>0</v>
      </c>
      <c r="BH32" s="126">
        <f>BB32/BB36*1000+BC32/BC36*100+BG32/BG36*10+BD32/BD36</f>
        <v>0</v>
      </c>
      <c r="BI32" s="126">
        <f>BH32/BH36</f>
        <v>0</v>
      </c>
      <c r="BK32" s="21"/>
      <c r="BL32" s="21"/>
      <c r="BM32" s="21"/>
      <c r="BN32" s="21"/>
      <c r="BO32" s="21"/>
      <c r="BP32" s="112"/>
      <c r="BQ32" s="112"/>
      <c r="BR32" s="21"/>
      <c r="BS32" s="21"/>
      <c r="BT32" s="21"/>
      <c r="BU32" s="21"/>
      <c r="BV32" s="21"/>
      <c r="BW32" s="114"/>
      <c r="BX32" s="112"/>
      <c r="BY32" s="131">
        <v>98</v>
      </c>
      <c r="BZ32" s="24" t="str">
        <f>IF(BW28&gt;BW29,BS28,IF(BW28&lt;BW29,BS29,""))</f>
        <v>Spain</v>
      </c>
      <c r="CA32" s="61">
        <v>2</v>
      </c>
      <c r="CB32" s="63"/>
      <c r="CC32" s="25"/>
      <c r="CD32" s="116">
        <f>IF(OR(CA32="",CA33="",AND(CB32="",CB33&lt;&gt;""),AND(CB33="",CB32&lt;&gt;""),AND(CC32="",CC33&lt;&gt;""),AND(CC33="",CC32&lt;&gt;"")),"",CA32*1000+CB32*10+CC32)</f>
        <v>2000</v>
      </c>
      <c r="CE32" s="112"/>
      <c r="CK32" s="114"/>
      <c r="CL32" s="112"/>
    </row>
    <row r="33" spans="1:96" x14ac:dyDescent="0.25">
      <c r="A33" s="16">
        <v>27</v>
      </c>
      <c r="B33" s="17" t="str" cm="1">
        <f t="array" ref="B33">INDEX(T,18+INT(MOD(R33-1,7)),lang)</f>
        <v>Thu</v>
      </c>
      <c r="C33" s="18" t="str" cm="1">
        <f t="array" ref="C33">INDEX(T,24+MONTH(R33),lang) &amp; " " &amp; DAY(R33) &amp; ", " &amp; YEAR(R33)</f>
        <v>Jun 18, 2026</v>
      </c>
      <c r="D33" s="120">
        <f t="shared" si="7"/>
        <v>0.95833333333333337</v>
      </c>
      <c r="E33" s="78" t="str">
        <f>AE14</f>
        <v>Canada</v>
      </c>
      <c r="F33" s="19">
        <v>6</v>
      </c>
      <c r="G33" s="20">
        <v>0</v>
      </c>
      <c r="H33" s="80" t="str">
        <f>AE16</f>
        <v>Qatar</v>
      </c>
      <c r="J33" s="30" t="str">
        <f>VLOOKUP(1,AD32:AN35,2,FALSE)</f>
        <v>Germany</v>
      </c>
      <c r="K33" s="31">
        <f>L33+M33+N33</f>
        <v>3</v>
      </c>
      <c r="L33" s="31">
        <f>VLOOKUP(1,AD32:AN35,3,FALSE)</f>
        <v>2</v>
      </c>
      <c r="M33" s="31">
        <f>VLOOKUP(1,AD32:AN35,4,FALSE)</f>
        <v>0</v>
      </c>
      <c r="N33" s="31">
        <f>VLOOKUP(1,AD32:AN35,5,FALSE)</f>
        <v>1</v>
      </c>
      <c r="O33" s="31" t="str">
        <f>VLOOKUP(1,AD32:AN35,6,FALSE) &amp; " - " &amp; VLOOKUP(1,AD32:AN35,7,FALSE)</f>
        <v>10 - 4</v>
      </c>
      <c r="P33" s="32">
        <f>L33*3+M33</f>
        <v>6</v>
      </c>
      <c r="R33" s="123">
        <f>DATE(2026,6,18)+TIME(11,0,0)+gmt_delta</f>
        <v>46191.958333333336</v>
      </c>
      <c r="S33" s="127" t="str">
        <f t="shared" si="1"/>
        <v>Canada_win</v>
      </c>
      <c r="T33" s="127" t="str">
        <f t="shared" si="2"/>
        <v>Qatar_lose</v>
      </c>
      <c r="U33" s="123">
        <f t="shared" si="8"/>
        <v>0</v>
      </c>
      <c r="V33" s="123">
        <f t="shared" si="3"/>
        <v>0</v>
      </c>
      <c r="W33" s="123">
        <f t="shared" si="4"/>
        <v>0</v>
      </c>
      <c r="X33" s="123">
        <f t="shared" si="9"/>
        <v>0</v>
      </c>
      <c r="Y33" s="123">
        <f t="shared" si="10"/>
        <v>0</v>
      </c>
      <c r="Z33" s="123">
        <f t="shared" si="11"/>
        <v>0</v>
      </c>
      <c r="AA33" s="123">
        <f t="shared" si="5"/>
        <v>0</v>
      </c>
      <c r="AB33" s="123">
        <f t="shared" si="6"/>
        <v>1</v>
      </c>
      <c r="AD33" s="123">
        <f>COUNTIF(AR32:AR35,CONCATENATE("&gt;=",AR33))</f>
        <v>4</v>
      </c>
      <c r="AE33" s="124" t="str">
        <f>VLOOKUP("Curaçao",T,lang,FALSE)</f>
        <v>Curaçao</v>
      </c>
      <c r="AF33" s="123">
        <f>COUNTIF($S$7:$T$78,"=" &amp; AE33 &amp; "_win")</f>
        <v>0</v>
      </c>
      <c r="AG33" s="123">
        <f>COUNTIF($S$7:$T$78,"=" &amp; AE33 &amp; "_draw")</f>
        <v>1</v>
      </c>
      <c r="AH33" s="123">
        <f>COUNTIF($S$7:$T$78,"=" &amp; AE33 &amp; "_lose")</f>
        <v>2</v>
      </c>
      <c r="AI33" s="123">
        <f>SUMIF($E$7:$E$78,$AE33,$F$7:$F$78) + SUMIF($H$7:$H$78,$AE33,$G$7:$G$78)</f>
        <v>1</v>
      </c>
      <c r="AJ33" s="123">
        <f>SUMIF($E$7:$E$78,$AE33,$G$7:$G$78) + SUMIF($H$7:$H$78,$AE33,$F$7:$F$78)</f>
        <v>9</v>
      </c>
      <c r="AL33" s="123">
        <f>AI33-AJ33</f>
        <v>-8</v>
      </c>
      <c r="AM33" s="123">
        <f>AL33-AL36</f>
        <v>0</v>
      </c>
      <c r="AN33" s="123">
        <f>AF33*3+AG33</f>
        <v>1</v>
      </c>
      <c r="AO33" s="123">
        <f>AN33/AN36*10+BA33</f>
        <v>1.4351288056206086</v>
      </c>
      <c r="AP33" s="123">
        <f>AO33*10000000+BI33*100+AM33/AM36*10+AI33/AI36*1++IF(AQ33=0,ROW(),AQ33)/2000000</f>
        <v>14351288.147762503</v>
      </c>
      <c r="AQ33" s="126">
        <f>VLOOKUP(AE33,db_fifarank,2,FALSE)</f>
        <v>1294.6500000000001</v>
      </c>
      <c r="AR33" s="125">
        <f>AP33/AP36</f>
        <v>0.14996963699678112</v>
      </c>
      <c r="AS33" s="125" t="str">
        <f>IF(SUM(AF32:AH35)=12,J34,"2E")</f>
        <v>Ivory Coast</v>
      </c>
      <c r="AT33" s="126" cm="1">
        <f t="array" ref="AT33">SUMPRODUCT(($S$7:$S$78=AE33&amp;"_win")*($U$7:$U$78))+SUMPRODUCT(($T$7:$T$78=AE33&amp;"_win")*($U$7:$U$78))</f>
        <v>0</v>
      </c>
      <c r="AU33" s="126" cm="1">
        <f t="array" ref="AU33">SUMPRODUCT(($S$7:$S$78=AE33&amp;"_draw")*($U$7:$U$78))+SUMPRODUCT(($T$7:$T$78=AE33&amp;"_draw")*($U$7:$U$78))</f>
        <v>0</v>
      </c>
      <c r="AV33" s="126" cm="1">
        <f t="array" ref="AV33">SUMPRODUCT(($E$7:$E$78=AE33)*($U$7:$U$78)*($F$7:$F$78))+SUMPRODUCT(($H$7:$H$78=AE33)*($U$7:$U$78)*($G$7:$G$78))</f>
        <v>0</v>
      </c>
      <c r="AW33" s="126" cm="1">
        <f t="array" ref="AW33">SUMPRODUCT(($E$7:$E$78=AE33)*($U$7:$U$78)*($G$7:$G$78))+SUMPRODUCT(($H$7:$H$78=AE33)*($U$7:$U$78)*($F$7:$F$78))</f>
        <v>0</v>
      </c>
      <c r="AX33" s="126">
        <f>AV33-AW33</f>
        <v>0</v>
      </c>
      <c r="AY33" s="126">
        <f>AX33-MIN(AX32:AX35)</f>
        <v>1</v>
      </c>
      <c r="AZ33" s="126">
        <f>AT33/AT36*1000+AU33/AU36*100+AY33/AY36*10+AV33/AV36</f>
        <v>3.333333333333333</v>
      </c>
      <c r="BA33" s="126">
        <f>AZ33/AZ36</f>
        <v>6.557377049180327E-3</v>
      </c>
      <c r="BB33" s="126" cm="1">
        <f t="array" ref="BB33">SUMPRODUCT(($S$7:$S$78=AE33&amp;"_win")*($X$7:$X$78))+SUMPRODUCT(($T$7:$T$78=AE33&amp;"_win")*($X$7:$X$78))</f>
        <v>0</v>
      </c>
      <c r="BC33" s="126" cm="1">
        <f t="array" ref="BC33">SUMPRODUCT(($S$7:$S$78=AE33&amp;"_draw")*($X$7:$X$78))+SUMPRODUCT(($T$7:$T$78=AE33&amp;"_draw")*($X$7:$X$78))</f>
        <v>0</v>
      </c>
      <c r="BD33" s="126" cm="1">
        <f t="array" ref="BD33">SUMPRODUCT(($E$7:$E$78=AE33)*($X$7:$X$78)*($F$7:$F$78))+SUMPRODUCT(($H$7:$H$78=AE33)*($X$7:$X$78)*($G$7:$G$78))</f>
        <v>0</v>
      </c>
      <c r="BE33" s="126" cm="1">
        <f t="array" ref="BE33">SUMPRODUCT(($E$7:$E$78=AE33)*($X$7:$X$78)*($G$7:$G$78))+SUMPRODUCT(($H$7:$H$78=AE33)*($X$7:$X$78)*($F$7:$F$78))</f>
        <v>0</v>
      </c>
      <c r="BF33" s="126">
        <f>BD33-BE33</f>
        <v>0</v>
      </c>
      <c r="BG33" s="126">
        <f>BF33-MIN(BF32:BF35)</f>
        <v>0</v>
      </c>
      <c r="BH33" s="126">
        <f>BB33/BB36*1000+BC33/BC36*100+BG33/BG36*10+BD33/BD36</f>
        <v>0</v>
      </c>
      <c r="BI33" s="126">
        <f>BH33/BH36</f>
        <v>0</v>
      </c>
      <c r="BK33" s="21" t="str" cm="1">
        <f t="array" ref="BK33">INDEX(T,24+MONTH(BP33),lang) &amp; " " &amp; DAY(BP33) &amp; ", " &amp; YEAR(BP33) &amp; "   " &amp; (IF(HOUR(BP33)&lt;10,0,"")&amp;HOUR(BP33)) &amp; ":" &amp;  (IF(MINUTE(BP33)&lt;10,0,"")&amp;MINUTE(BP33))</f>
        <v>Jul 2, 2026   01:00</v>
      </c>
      <c r="BL33" s="21"/>
      <c r="BM33" s="21"/>
      <c r="BN33" s="21"/>
      <c r="BO33" s="28"/>
      <c r="BP33" s="112">
        <f>DATE(2026,7,1)+TIME(13,0,0)+gmt_delta</f>
        <v>46205.041666666664</v>
      </c>
      <c r="BQ33" s="112"/>
      <c r="BR33" s="21"/>
      <c r="BS33" s="21"/>
      <c r="BT33" s="21"/>
      <c r="BU33" s="21"/>
      <c r="BV33" s="21"/>
      <c r="BW33" s="114"/>
      <c r="BX33" s="115"/>
      <c r="BY33" s="132"/>
      <c r="BZ33" s="26" t="str">
        <f>IF(BW36&gt;BW37,BS36,IF(BW36&lt;BW37,BS37,""))</f>
        <v>Belgium</v>
      </c>
      <c r="CA33" s="62">
        <v>1</v>
      </c>
      <c r="CB33" s="64"/>
      <c r="CC33" s="27"/>
      <c r="CD33" s="112">
        <f>IF(CD32="","",CA33*1000+CB33*10+CC33)</f>
        <v>1000</v>
      </c>
      <c r="CE33" s="112"/>
      <c r="CK33" s="114"/>
      <c r="CL33" s="112"/>
      <c r="CM33" s="133" t="str" cm="1">
        <f t="array" ref="CM33">INDEX(T,8,lang)</f>
        <v>Final</v>
      </c>
      <c r="CN33" s="134"/>
      <c r="CO33" s="134"/>
      <c r="CP33" s="134"/>
      <c r="CQ33" s="135"/>
    </row>
    <row r="34" spans="1:96" x14ac:dyDescent="0.25">
      <c r="A34" s="16">
        <v>28</v>
      </c>
      <c r="B34" s="17" t="str" cm="1">
        <f t="array" ref="B34">INDEX(T,18+INT(MOD(R34-1,7)),lang)</f>
        <v>Fri</v>
      </c>
      <c r="C34" s="18" t="str" cm="1">
        <f t="array" ref="C34">INDEX(T,24+MONTH(R34),lang) &amp; " " &amp; DAY(R34) &amp; ", " &amp; YEAR(R34)</f>
        <v>Jun 19, 2026</v>
      </c>
      <c r="D34" s="120">
        <f t="shared" si="7"/>
        <v>8.3333333333333329E-2</v>
      </c>
      <c r="E34" s="78" t="str">
        <f>AE8</f>
        <v>Mexico</v>
      </c>
      <c r="F34" s="19">
        <v>1</v>
      </c>
      <c r="G34" s="20">
        <v>0</v>
      </c>
      <c r="H34" s="80" t="str">
        <f>AE10</f>
        <v>Korea Republic</v>
      </c>
      <c r="J34" s="33" t="str">
        <f>VLOOKUP(2,AD32:AN35,2,FALSE)</f>
        <v>Ivory Coast</v>
      </c>
      <c r="K34" s="23">
        <f>L34+M34+N34</f>
        <v>3</v>
      </c>
      <c r="L34" s="23">
        <f>VLOOKUP(2,AD32:AN35,3,FALSE)</f>
        <v>2</v>
      </c>
      <c r="M34" s="23">
        <f>VLOOKUP(2,AD32:AN35,4,FALSE)</f>
        <v>0</v>
      </c>
      <c r="N34" s="23">
        <f>VLOOKUP(2,AD32:AN35,5,FALSE)</f>
        <v>1</v>
      </c>
      <c r="O34" s="23" t="str">
        <f>VLOOKUP(2,AD32:AN35,6,FALSE) &amp; " - " &amp; VLOOKUP(2,AD32:AN35,7,FALSE)</f>
        <v>4 - 2</v>
      </c>
      <c r="P34" s="34">
        <f>L34*3+M34</f>
        <v>6</v>
      </c>
      <c r="R34" s="123">
        <f>DATE(2026,6,18)+TIME(14,0,0)+gmt_delta</f>
        <v>46192.083333333336</v>
      </c>
      <c r="S34" s="127" t="str">
        <f t="shared" si="1"/>
        <v>Mexico_win</v>
      </c>
      <c r="T34" s="127" t="str">
        <f t="shared" si="2"/>
        <v>Korea Republic_lose</v>
      </c>
      <c r="U34" s="123">
        <f t="shared" si="8"/>
        <v>0</v>
      </c>
      <c r="V34" s="123">
        <f t="shared" si="3"/>
        <v>0</v>
      </c>
      <c r="W34" s="123">
        <f t="shared" si="4"/>
        <v>0</v>
      </c>
      <c r="X34" s="123">
        <f t="shared" si="9"/>
        <v>0</v>
      </c>
      <c r="Y34" s="123">
        <f t="shared" si="10"/>
        <v>0</v>
      </c>
      <c r="Z34" s="123">
        <f t="shared" si="11"/>
        <v>0</v>
      </c>
      <c r="AA34" s="123">
        <f t="shared" si="5"/>
        <v>0</v>
      </c>
      <c r="AB34" s="123">
        <f t="shared" si="6"/>
        <v>1</v>
      </c>
      <c r="AD34" s="123">
        <f>COUNTIF(AR32:AR35,CONCATENATE("&gt;=",AR34))</f>
        <v>2</v>
      </c>
      <c r="AE34" s="124" t="str">
        <f>VLOOKUP("Ivory Coast",T,lang,FALSE)</f>
        <v>Ivory Coast</v>
      </c>
      <c r="AF34" s="123">
        <f>COUNTIF($S$7:$T$78,"=" &amp; AE34 &amp; "_win")</f>
        <v>2</v>
      </c>
      <c r="AG34" s="123">
        <f>COUNTIF($S$7:$T$78,"=" &amp; AE34 &amp; "_draw")</f>
        <v>0</v>
      </c>
      <c r="AH34" s="123">
        <f>COUNTIF($S$7:$T$78,"=" &amp; AE34 &amp; "_lose")</f>
        <v>1</v>
      </c>
      <c r="AI34" s="123">
        <f>SUMIF($E$7:$E$78,$AE34,$F$7:$F$78) + SUMIF($H$7:$H$78,$AE34,$G$7:$G$78)</f>
        <v>4</v>
      </c>
      <c r="AJ34" s="123">
        <f>SUMIF($E$7:$E$78,$AE34,$G$7:$G$78) + SUMIF($H$7:$H$78,$AE34,$F$7:$F$78)</f>
        <v>2</v>
      </c>
      <c r="AL34" s="123">
        <f>AI34-AJ34</f>
        <v>2</v>
      </c>
      <c r="AM34" s="123">
        <f>AL34-AL36</f>
        <v>10</v>
      </c>
      <c r="AN34" s="123">
        <f>AF34*3+AG34</f>
        <v>6</v>
      </c>
      <c r="AO34" s="123">
        <f>AN34/AN36*10+BA34</f>
        <v>8.5720843091334888</v>
      </c>
      <c r="AP34" s="123">
        <f>AO34*10000000+BI34*100+AM34/AM36*10+AI34/AI36*1++IF(AQ34=0,ROW(),AQ34)/2000000</f>
        <v>85720850.122404411</v>
      </c>
      <c r="AQ34" s="126">
        <f>VLOOKUP(AE34,db_fifarank,2,FALSE)</f>
        <v>1532.98</v>
      </c>
      <c r="AR34" s="125">
        <f>AP34/AP36</f>
        <v>0.89577497459116673</v>
      </c>
      <c r="AT34" s="126" cm="1">
        <f t="array" ref="AT34">SUMPRODUCT(($S$7:$S$78=AE34&amp;"_win")*($U$7:$U$78))+SUMPRODUCT(($T$7:$T$78=AE34&amp;"_win")*($U$7:$U$78))</f>
        <v>0</v>
      </c>
      <c r="AU34" s="126" cm="1">
        <f t="array" ref="AU34">SUMPRODUCT(($S$7:$S$78=AE34&amp;"_draw")*($U$7:$U$78))+SUMPRODUCT(($T$7:$T$78=AE34&amp;"_draw")*($U$7:$U$78))</f>
        <v>0</v>
      </c>
      <c r="AV34" s="126" cm="1">
        <f t="array" ref="AV34">SUMPRODUCT(($E$7:$E$78=AE34)*($U$7:$U$78)*($F$7:$F$78))+SUMPRODUCT(($H$7:$H$78=AE34)*($U$7:$U$78)*($G$7:$G$78))</f>
        <v>1</v>
      </c>
      <c r="AW34" s="126" cm="1">
        <f t="array" ref="AW34">SUMPRODUCT(($E$7:$E$78=AE34)*($U$7:$U$78)*($G$7:$G$78))+SUMPRODUCT(($H$7:$H$78=AE34)*($U$7:$U$78)*($F$7:$F$78))</f>
        <v>2</v>
      </c>
      <c r="AX34" s="126">
        <f>AV34-AW34</f>
        <v>-1</v>
      </c>
      <c r="AY34" s="126">
        <f>AX34-MIN(AX32:AX35)</f>
        <v>0</v>
      </c>
      <c r="AZ34" s="126">
        <f>AT34/AT36*1000+AU34/AU36*100+AY34/AY36*10+AV34/AV36</f>
        <v>0.33333333333333331</v>
      </c>
      <c r="BA34" s="126">
        <f>AZ34/AZ36</f>
        <v>6.5573770491803268E-4</v>
      </c>
      <c r="BB34" s="126" cm="1">
        <f t="array" ref="BB34">SUMPRODUCT(($S$7:$S$78=AE34&amp;"_win")*($X$7:$X$78))+SUMPRODUCT(($T$7:$T$78=AE34&amp;"_win")*($X$7:$X$78))</f>
        <v>0</v>
      </c>
      <c r="BC34" s="126" cm="1">
        <f t="array" ref="BC34">SUMPRODUCT(($S$7:$S$78=AE34&amp;"_draw")*($X$7:$X$78))+SUMPRODUCT(($T$7:$T$78=AE34&amp;"_draw")*($X$7:$X$78))</f>
        <v>0</v>
      </c>
      <c r="BD34" s="126" cm="1">
        <f t="array" ref="BD34">SUMPRODUCT(($E$7:$E$78=AE34)*($X$7:$X$78)*($F$7:$F$78))+SUMPRODUCT(($H$7:$H$78=AE34)*($X$7:$X$78)*($G$7:$G$78))</f>
        <v>0</v>
      </c>
      <c r="BE34" s="126" cm="1">
        <f t="array" ref="BE34">SUMPRODUCT(($E$7:$E$78=AE34)*($X$7:$X$78)*($G$7:$G$78))+SUMPRODUCT(($H$7:$H$78=AE34)*($X$7:$X$78)*($F$7:$F$78))</f>
        <v>0</v>
      </c>
      <c r="BF34" s="126">
        <f>BD34-BE34</f>
        <v>0</v>
      </c>
      <c r="BG34" s="126">
        <f>BF34-MIN(BF32:BF35)</f>
        <v>0</v>
      </c>
      <c r="BH34" s="126">
        <f>BB34/BB36*1000+BC34/BC36*100+BG34/BG36*10+BD34/BD36</f>
        <v>0</v>
      </c>
      <c r="BI34" s="126">
        <f>BH34/BH36</f>
        <v>0</v>
      </c>
      <c r="BK34" s="131">
        <v>81</v>
      </c>
      <c r="BL34" s="24" t="str">
        <f>AS26</f>
        <v>United States</v>
      </c>
      <c r="BM34" s="61">
        <v>2</v>
      </c>
      <c r="BN34" s="63"/>
      <c r="BO34" s="25"/>
      <c r="BP34" s="112">
        <f>IF(OR(BM34="",BM35="",AND(BN34="",BN35&lt;&gt;""),AND(BN35="",BN34&lt;&gt;""),AND(BO34="",BO35&lt;&gt;""),AND(BO35="",BO34&lt;&gt;"")),"",BM34*1000+BN34*10+BO34)</f>
        <v>2000</v>
      </c>
      <c r="BQ34" s="112"/>
      <c r="BR34" s="21"/>
      <c r="BS34" s="21"/>
      <c r="BT34" s="21"/>
      <c r="BU34" s="21"/>
      <c r="BV34" s="21"/>
      <c r="BW34" s="114"/>
      <c r="BX34" s="112"/>
      <c r="BY34" s="21"/>
      <c r="BZ34" s="21"/>
      <c r="CA34" s="21"/>
      <c r="CB34" s="21"/>
      <c r="CC34" s="21"/>
      <c r="CD34" s="112"/>
      <c r="CE34" s="112"/>
      <c r="CK34" s="114"/>
      <c r="CL34" s="112"/>
      <c r="CM34" s="136"/>
      <c r="CN34" s="137"/>
      <c r="CO34" s="137"/>
      <c r="CP34" s="137"/>
      <c r="CQ34" s="138"/>
    </row>
    <row r="35" spans="1:96" x14ac:dyDescent="0.25">
      <c r="A35" s="16">
        <v>29</v>
      </c>
      <c r="B35" s="17" t="str" cm="1">
        <f t="array" ref="B35">INDEX(T,18+INT(MOD(R35-1,7)),lang)</f>
        <v>Sat</v>
      </c>
      <c r="C35" s="18" t="str" cm="1">
        <f t="array" ref="C35">INDEX(T,24+MONTH(R35),lang) &amp; " " &amp; DAY(R35) &amp; ", " &amp; YEAR(R35)</f>
        <v>Jun 20, 2026</v>
      </c>
      <c r="D35" s="120">
        <f t="shared" si="7"/>
        <v>6.25E-2</v>
      </c>
      <c r="E35" s="78" t="str">
        <f>AE20</f>
        <v>Brazil</v>
      </c>
      <c r="F35" s="19">
        <v>3</v>
      </c>
      <c r="G35" s="20">
        <v>0</v>
      </c>
      <c r="H35" s="80" t="str">
        <f>AE22</f>
        <v>Haiti</v>
      </c>
      <c r="J35" s="33" t="str">
        <f>VLOOKUP(3,AD32:AN35,2,FALSE)</f>
        <v>Ecuador</v>
      </c>
      <c r="K35" s="23">
        <f>L35+M35+N35</f>
        <v>3</v>
      </c>
      <c r="L35" s="23">
        <f>VLOOKUP(3,AD32:AN35,3,FALSE)</f>
        <v>1</v>
      </c>
      <c r="M35" s="23">
        <f>VLOOKUP(3,AD32:AN35,4,FALSE)</f>
        <v>1</v>
      </c>
      <c r="N35" s="23">
        <f>VLOOKUP(3,AD32:AN35,5,FALSE)</f>
        <v>1</v>
      </c>
      <c r="O35" s="23" t="str">
        <f>VLOOKUP(3,AD32:AN35,6,FALSE) &amp; " - " &amp; VLOOKUP(3,AD32:AN35,7,FALSE)</f>
        <v>2 - 2</v>
      </c>
      <c r="P35" s="34">
        <f>L35*3+M35</f>
        <v>4</v>
      </c>
      <c r="R35" s="123">
        <f>DATE(2026,6,19)+TIME(13,30,0)+gmt_delta</f>
        <v>46193.0625</v>
      </c>
      <c r="S35" s="127" t="str">
        <f t="shared" si="1"/>
        <v>Brazil_win</v>
      </c>
      <c r="T35" s="127" t="str">
        <f t="shared" si="2"/>
        <v>Haiti_lose</v>
      </c>
      <c r="U35" s="123">
        <f t="shared" si="8"/>
        <v>0</v>
      </c>
      <c r="V35" s="123">
        <f t="shared" si="3"/>
        <v>0</v>
      </c>
      <c r="W35" s="123">
        <f t="shared" si="4"/>
        <v>0</v>
      </c>
      <c r="X35" s="123">
        <f t="shared" si="9"/>
        <v>0</v>
      </c>
      <c r="Y35" s="123">
        <f t="shared" si="10"/>
        <v>0</v>
      </c>
      <c r="Z35" s="123">
        <f t="shared" si="11"/>
        <v>0</v>
      </c>
      <c r="AA35" s="123">
        <f t="shared" si="5"/>
        <v>0</v>
      </c>
      <c r="AB35" s="123">
        <f t="shared" si="6"/>
        <v>1</v>
      </c>
      <c r="AD35" s="123">
        <f>COUNTIF(AR32:AR35,CONCATENATE("&gt;=",AR35))</f>
        <v>3</v>
      </c>
      <c r="AE35" s="124" t="str">
        <f>VLOOKUP("Ecuador",T,lang,FALSE)</f>
        <v>Ecuador</v>
      </c>
      <c r="AF35" s="123">
        <f>COUNTIF($S$7:$T$78,"=" &amp; AE35 &amp; "_win")</f>
        <v>1</v>
      </c>
      <c r="AG35" s="123">
        <f>COUNTIF($S$7:$T$78,"=" &amp; AE35 &amp; "_draw")</f>
        <v>1</v>
      </c>
      <c r="AH35" s="123">
        <f>COUNTIF($S$7:$T$78,"=" &amp; AE35 &amp; "_lose")</f>
        <v>1</v>
      </c>
      <c r="AI35" s="123">
        <f>SUMIF($E$7:$E$78,$AE35,$F$7:$F$78) + SUMIF($H$7:$H$78,$AE35,$G$7:$G$78)</f>
        <v>2</v>
      </c>
      <c r="AJ35" s="123">
        <f>SUMIF($E$7:$E$78,$AE35,$G$7:$G$78) + SUMIF($H$7:$H$78,$AE35,$F$7:$F$78)</f>
        <v>2</v>
      </c>
      <c r="AL35" s="123">
        <f>AI35-AJ35</f>
        <v>0</v>
      </c>
      <c r="AM35" s="123">
        <f>AL35-AL36</f>
        <v>8</v>
      </c>
      <c r="AN35" s="123">
        <f>AF35*3+AG35</f>
        <v>4</v>
      </c>
      <c r="AO35" s="123">
        <f>AN35/AN36*10+BA35</f>
        <v>5.7208430913348938</v>
      </c>
      <c r="AP35" s="123">
        <f>AO35*10000000+BI35*100+AM35/AM36*10+AI35/AI36*1++IF(AQ35=0,ROW(),AQ35)/2000000</f>
        <v>57208436.429297842</v>
      </c>
      <c r="AQ35" s="126">
        <f>VLOOKUP(AE35,db_fifarank,2,FALSE)</f>
        <v>1594.78</v>
      </c>
      <c r="AR35" s="125">
        <f>AP35/AP36</f>
        <v>0.59782288224718372</v>
      </c>
      <c r="AT35" s="126" cm="1">
        <f t="array" ref="AT35">SUMPRODUCT(($S$7:$S$78=AE35&amp;"_win")*($U$7:$U$78))+SUMPRODUCT(($T$7:$T$78=AE35&amp;"_win")*($U$7:$U$78))</f>
        <v>0</v>
      </c>
      <c r="AU35" s="126" cm="1">
        <f t="array" ref="AU35">SUMPRODUCT(($S$7:$S$78=AE35&amp;"_draw")*($U$7:$U$78))+SUMPRODUCT(($T$7:$T$78=AE35&amp;"_draw")*($U$7:$U$78))</f>
        <v>0</v>
      </c>
      <c r="AV35" s="126" cm="1">
        <f t="array" ref="AV35">SUMPRODUCT(($E$7:$E$78=AE35)*($U$7:$U$78)*($F$7:$F$78))+SUMPRODUCT(($H$7:$H$78=AE35)*($U$7:$U$78)*($G$7:$G$78))</f>
        <v>0</v>
      </c>
      <c r="AW35" s="126" cm="1">
        <f t="array" ref="AW35">SUMPRODUCT(($E$7:$E$78=AE35)*($U$7:$U$78)*($G$7:$G$78))+SUMPRODUCT(($H$7:$H$78=AE35)*($U$7:$U$78)*($F$7:$F$78))</f>
        <v>0</v>
      </c>
      <c r="AX35" s="126">
        <f>AV35-AW35</f>
        <v>0</v>
      </c>
      <c r="AY35" s="126">
        <f>AX35-MIN(AX32:AX35)</f>
        <v>1</v>
      </c>
      <c r="AZ35" s="126">
        <f>AT35/AT36*1000+AU35/AU36*100+AY35/AY36*10+AV35/AV36</f>
        <v>3.333333333333333</v>
      </c>
      <c r="BA35" s="126">
        <f>AZ35/AZ36</f>
        <v>6.557377049180327E-3</v>
      </c>
      <c r="BB35" s="126" cm="1">
        <f t="array" ref="BB35">SUMPRODUCT(($S$7:$S$78=AE35&amp;"_win")*($X$7:$X$78))+SUMPRODUCT(($T$7:$T$78=AE35&amp;"_win")*($X$7:$X$78))</f>
        <v>0</v>
      </c>
      <c r="BC35" s="126" cm="1">
        <f t="array" ref="BC35">SUMPRODUCT(($S$7:$S$78=AE35&amp;"_draw")*($X$7:$X$78))+SUMPRODUCT(($T$7:$T$78=AE35&amp;"_draw")*($X$7:$X$78))</f>
        <v>0</v>
      </c>
      <c r="BD35" s="126" cm="1">
        <f t="array" ref="BD35">SUMPRODUCT(($E$7:$E$78=AE35)*($X$7:$X$78)*($F$7:$F$78))+SUMPRODUCT(($H$7:$H$78=AE35)*($X$7:$X$78)*($G$7:$G$78))</f>
        <v>0</v>
      </c>
      <c r="BE35" s="126" cm="1">
        <f t="array" ref="BE35">SUMPRODUCT(($E$7:$E$78=AE35)*($X$7:$X$78)*($G$7:$G$78))+SUMPRODUCT(($H$7:$H$78=AE35)*($X$7:$X$78)*($F$7:$F$78))</f>
        <v>0</v>
      </c>
      <c r="BF35" s="126">
        <f>BD35-BE35</f>
        <v>0</v>
      </c>
      <c r="BG35" s="126">
        <f>BF35-MIN(BF32:BF35)</f>
        <v>0</v>
      </c>
      <c r="BH35" s="126">
        <f>BB35/BB36*1000+BC35/BC36*100+BG35/BG36*10+BD35/BD36</f>
        <v>0</v>
      </c>
      <c r="BI35" s="126">
        <f>BH35/BH36</f>
        <v>0</v>
      </c>
      <c r="BK35" s="132"/>
      <c r="BL35" s="26" t="str">
        <f>IF(group_round_completed,VLOOKUP('3rd places'!F3,AK80:AS91,9,FALSE),"3rd Group B/E/F/I/J")</f>
        <v>Bosnia and Herzegovina</v>
      </c>
      <c r="BM35" s="62">
        <v>0</v>
      </c>
      <c r="BN35" s="64"/>
      <c r="BO35" s="27"/>
      <c r="BP35" s="113">
        <f>IF(BP34="","",BM35*1000+BN35*10+BO35)</f>
        <v>0</v>
      </c>
      <c r="BQ35" s="112"/>
      <c r="BR35" s="21" t="str" cm="1">
        <f t="array" ref="BR35">INDEX(T,24+MONTH(BW35),lang) &amp; " " &amp; DAY(BW35) &amp; ", " &amp; YEAR(BW35) &amp; "   " &amp; (IF(HOUR(BW35)&lt;10,0,"")&amp;HOUR(BW35)) &amp; ":" &amp;  (IF(MINUTE(BW35)&lt;10,0,"")&amp;MINUTE(BW35))</f>
        <v>Jul 7, 2026   01:00</v>
      </c>
      <c r="BS35" s="21"/>
      <c r="BT35" s="21"/>
      <c r="BU35" s="21"/>
      <c r="BV35" s="28"/>
      <c r="BW35" s="114">
        <f>DATE(2026,7,6)+TIME(13,0,0)+gmt_delta</f>
        <v>46210.041666666664</v>
      </c>
      <c r="BX35" s="112"/>
      <c r="BY35" s="21"/>
      <c r="BZ35" s="21"/>
      <c r="CA35" s="21"/>
      <c r="CB35" s="21"/>
      <c r="CC35" s="21"/>
      <c r="CD35" s="112"/>
      <c r="CE35" s="112"/>
      <c r="CK35" s="114"/>
      <c r="CL35" s="112"/>
    </row>
    <row r="36" spans="1:96" x14ac:dyDescent="0.25">
      <c r="A36" s="16">
        <v>30</v>
      </c>
      <c r="B36" s="17" t="str" cm="1">
        <f t="array" ref="B36">INDEX(T,18+INT(MOD(R36-1,7)),lang)</f>
        <v>Fri</v>
      </c>
      <c r="C36" s="18" t="str" cm="1">
        <f t="array" ref="C36">INDEX(T,24+MONTH(R36),lang) &amp; " " &amp; DAY(R36) &amp; ", " &amp; YEAR(R36)</f>
        <v>Jun 19, 2026</v>
      </c>
      <c r="D36" s="120">
        <f t="shared" si="7"/>
        <v>0.95833333333333337</v>
      </c>
      <c r="E36" s="78" t="str">
        <f>AE23</f>
        <v>Scotland</v>
      </c>
      <c r="F36" s="19">
        <v>0</v>
      </c>
      <c r="G36" s="20">
        <v>1</v>
      </c>
      <c r="H36" s="80" t="str">
        <f>AE21</f>
        <v>Morocco</v>
      </c>
      <c r="J36" s="35" t="str">
        <f>VLOOKUP(4,AD32:AN35,2,FALSE)</f>
        <v>Curaçao</v>
      </c>
      <c r="K36" s="36">
        <f>L36+M36+N36</f>
        <v>3</v>
      </c>
      <c r="L36" s="36">
        <f>VLOOKUP(4,AD32:AN35,3,FALSE)</f>
        <v>0</v>
      </c>
      <c r="M36" s="36">
        <f>VLOOKUP(4,AD32:AN35,4,FALSE)</f>
        <v>1</v>
      </c>
      <c r="N36" s="36">
        <f>VLOOKUP(4,AD32:AN35,5,FALSE)</f>
        <v>2</v>
      </c>
      <c r="O36" s="36" t="str">
        <f>VLOOKUP(4,AD32:AN35,6,FALSE) &amp; " - " &amp; VLOOKUP(4,AD32:AN35,7,FALSE)</f>
        <v>1 - 9</v>
      </c>
      <c r="P36" s="37">
        <f>L36*3+M36</f>
        <v>1</v>
      </c>
      <c r="R36" s="123">
        <f>DATE(2026,6,19)+TIME(11,0,0)+gmt_delta</f>
        <v>46192.958333333336</v>
      </c>
      <c r="S36" s="127" t="str">
        <f t="shared" si="1"/>
        <v>Scotland_lose</v>
      </c>
      <c r="T36" s="127" t="str">
        <f t="shared" si="2"/>
        <v>Morocco_win</v>
      </c>
      <c r="U36" s="123">
        <f t="shared" si="8"/>
        <v>0</v>
      </c>
      <c r="V36" s="123">
        <f t="shared" si="3"/>
        <v>0</v>
      </c>
      <c r="W36" s="123">
        <f t="shared" si="4"/>
        <v>0</v>
      </c>
      <c r="X36" s="123">
        <f t="shared" si="9"/>
        <v>0</v>
      </c>
      <c r="Y36" s="123">
        <f t="shared" si="10"/>
        <v>0</v>
      </c>
      <c r="Z36" s="123">
        <f t="shared" si="11"/>
        <v>0</v>
      </c>
      <c r="AA36" s="123">
        <f t="shared" si="5"/>
        <v>0</v>
      </c>
      <c r="AB36" s="123">
        <f t="shared" si="6"/>
        <v>-1</v>
      </c>
      <c r="AF36" s="123">
        <f t="shared" ref="AF36:AH36" si="16">MAX(AF32:AF35)-MIN(AF32:AF35)+1</f>
        <v>3</v>
      </c>
      <c r="AG36" s="123">
        <f t="shared" si="16"/>
        <v>2</v>
      </c>
      <c r="AH36" s="123">
        <f t="shared" si="16"/>
        <v>2</v>
      </c>
      <c r="AI36" s="123">
        <f>MAX(AI32:AI35)+1</f>
        <v>11</v>
      </c>
      <c r="AL36" s="123">
        <f>MIN(AL32:AL35)</f>
        <v>-8</v>
      </c>
      <c r="AM36" s="123">
        <f>MAX(AM32:AM35)+1</f>
        <v>15</v>
      </c>
      <c r="AN36" s="123">
        <f>MAX(AN32:AN35)+1</f>
        <v>7</v>
      </c>
      <c r="AO36" s="123">
        <f>MAX(AO32:AO35)+1</f>
        <v>10.569461358313816</v>
      </c>
      <c r="AP36" s="123">
        <f>MAX(AP32:AP35)+1</f>
        <v>95694624.826427594</v>
      </c>
      <c r="AT36" s="126">
        <f>MAX(AT32:AT35)-MIN(AT32:AT35)+1</f>
        <v>2</v>
      </c>
      <c r="AU36" s="126">
        <f>MAX(AU32:AU35)-MIN(AU32:AU35)+1</f>
        <v>1</v>
      </c>
      <c r="AV36" s="126">
        <f>MAX(AV32:AV35)-MIN(AV32:AV35)+1</f>
        <v>3</v>
      </c>
      <c r="AW36" s="126">
        <f>MAX(AW32:AW35)-MIN(AW32:AW35)+1</f>
        <v>3</v>
      </c>
      <c r="AY36" s="126">
        <f>MAX(AY32:AY35)-MIN(AY32:AY35)+1</f>
        <v>3</v>
      </c>
      <c r="AZ36" s="126">
        <f>MAX(AZ32:AZ35)+1</f>
        <v>508.33333333333337</v>
      </c>
      <c r="BB36" s="126">
        <f>MAX(BB32:BB35)-MIN(BB32:BB35)+1</f>
        <v>1</v>
      </c>
      <c r="BC36" s="126">
        <f>MAX(BC32:BC35)-MIN(BC32:BC35)+1</f>
        <v>1</v>
      </c>
      <c r="BD36" s="126">
        <f>MAX(BD32:BD35)-MIN(BD32:BD35)+1</f>
        <v>1</v>
      </c>
      <c r="BE36" s="126">
        <f>MAX(BE32:BE35)-MIN(BE32:BE35)+1</f>
        <v>1</v>
      </c>
      <c r="BG36" s="126">
        <f>MAX(BG32:BG35)-MIN(BG32:BG35)+1</f>
        <v>1</v>
      </c>
      <c r="BH36" s="126">
        <f>MAX(BH32:BH35)+1</f>
        <v>1</v>
      </c>
      <c r="BK36" s="21"/>
      <c r="BL36" s="21"/>
      <c r="BM36" s="21"/>
      <c r="BN36" s="21"/>
      <c r="BO36" s="21"/>
      <c r="BP36" s="114"/>
      <c r="BQ36" s="112"/>
      <c r="BR36" s="131">
        <v>94</v>
      </c>
      <c r="BS36" s="24" t="str">
        <f>IF(BP34&gt;BP35,BL34,IF(BP34&lt;BP35,BL35,""))</f>
        <v>United States</v>
      </c>
      <c r="BT36" s="61">
        <v>1</v>
      </c>
      <c r="BU36" s="63"/>
      <c r="BV36" s="25"/>
      <c r="BW36" s="116">
        <f>IF(OR(BT36="",BT37="",AND(BU36="",BU37&lt;&gt;""),AND(BU37="",BU36&lt;&gt;""),AND(BV36="",BV37&lt;&gt;""),AND(BV37="",BV36&lt;&gt;"")),"",BT36*1000+BU36*10+BV36)</f>
        <v>1000</v>
      </c>
      <c r="BX36" s="112"/>
      <c r="BY36" s="21"/>
      <c r="BZ36" s="21"/>
      <c r="CA36" s="21"/>
      <c r="CB36" s="21"/>
      <c r="CC36" s="21"/>
      <c r="CD36" s="112"/>
      <c r="CE36" s="112"/>
      <c r="CK36" s="114"/>
      <c r="CL36" s="112"/>
      <c r="CM36" s="21" t="str" cm="1">
        <f t="array" ref="CM36">INDEX(T,24+MONTH(CR36),lang) &amp; " " &amp; DAY(CR36) &amp; ", " &amp; YEAR(CR36) &amp; "   " &amp; (IF(HOUR(CR36)&lt;10,0,"")&amp;HOUR(CR36)) &amp; ":" &amp;  (IF(MINUTE(CR36)&lt;10,0,"")&amp;MINUTE(CR36))</f>
        <v>Jul 19, 2026   20:00</v>
      </c>
      <c r="CN36" s="21"/>
      <c r="CO36" s="21"/>
      <c r="CP36" s="21"/>
      <c r="CQ36" s="28"/>
      <c r="CR36" s="111">
        <f>DATE(2026,7,19)+TIME(8,0,0)+gmt_delta</f>
        <v>46222.833333333336</v>
      </c>
    </row>
    <row r="37" spans="1:96" x14ac:dyDescent="0.25">
      <c r="A37" s="16">
        <v>31</v>
      </c>
      <c r="B37" s="17" t="str" cm="1">
        <f t="array" ref="B37">INDEX(T,18+INT(MOD(R37-1,7)),lang)</f>
        <v>Sat</v>
      </c>
      <c r="C37" s="18" t="str" cm="1">
        <f t="array" ref="C37">INDEX(T,24+MONTH(R37),lang) &amp; " " &amp; DAY(R37) &amp; ", " &amp; YEAR(R37)</f>
        <v>Jun 20, 2026</v>
      </c>
      <c r="D37" s="120">
        <f t="shared" si="7"/>
        <v>0.16666666666666666</v>
      </c>
      <c r="E37" s="78" t="str">
        <f>AE26</f>
        <v>United States</v>
      </c>
      <c r="F37" s="19">
        <v>2</v>
      </c>
      <c r="G37" s="20">
        <v>0</v>
      </c>
      <c r="H37" s="80" t="str">
        <f>AE28</f>
        <v>Australia</v>
      </c>
      <c r="R37" s="123">
        <f>DATE(2026,6,19)+TIME(16,0,0)+gmt_delta</f>
        <v>46193.166666666664</v>
      </c>
      <c r="S37" s="127" t="str">
        <f t="shared" si="1"/>
        <v>United States_win</v>
      </c>
      <c r="T37" s="127" t="str">
        <f t="shared" si="2"/>
        <v>Australia_lose</v>
      </c>
      <c r="U37" s="123">
        <f t="shared" si="8"/>
        <v>0</v>
      </c>
      <c r="V37" s="123">
        <f t="shared" si="3"/>
        <v>0</v>
      </c>
      <c r="W37" s="123">
        <f t="shared" si="4"/>
        <v>0</v>
      </c>
      <c r="X37" s="123">
        <f t="shared" si="9"/>
        <v>0</v>
      </c>
      <c r="Y37" s="123">
        <f t="shared" si="10"/>
        <v>0</v>
      </c>
      <c r="Z37" s="123">
        <f t="shared" si="11"/>
        <v>0</v>
      </c>
      <c r="AA37" s="123">
        <f t="shared" si="5"/>
        <v>0</v>
      </c>
      <c r="AB37" s="123">
        <f t="shared" si="6"/>
        <v>1</v>
      </c>
      <c r="BK37" s="21" t="str" cm="1">
        <f t="array" ref="BK37">INDEX(T,24+MONTH(BP37),lang) &amp; " " &amp; DAY(BP37) &amp; ", " &amp; YEAR(BP37) &amp; "   " &amp; (IF(HOUR(BP37)&lt;10,0,"")&amp;HOUR(BP37)) &amp; ":" &amp;  (IF(MINUTE(BP37)&lt;10,0,"")&amp;MINUTE(BP37))</f>
        <v>Jul 1, 2026   21:00</v>
      </c>
      <c r="BL37" s="21"/>
      <c r="BM37" s="21"/>
      <c r="BN37" s="21"/>
      <c r="BO37" s="28"/>
      <c r="BP37" s="114">
        <f>DATE(2026,7,1)+TIME(9,0,0)+gmt_delta</f>
        <v>46204.875</v>
      </c>
      <c r="BQ37" s="115"/>
      <c r="BR37" s="132"/>
      <c r="BS37" s="26" t="str">
        <f>IF(BP38&gt;BP39,BL38,IF(BP38&lt;BP39,BL39,""))</f>
        <v>Belgium</v>
      </c>
      <c r="BT37" s="62">
        <v>4</v>
      </c>
      <c r="BU37" s="64"/>
      <c r="BV37" s="27"/>
      <c r="BW37" s="112">
        <f>IF(BW36="","",BT37*1000+BU37*10+BV37)</f>
        <v>4000</v>
      </c>
      <c r="BX37" s="112"/>
      <c r="BY37" s="21"/>
      <c r="BZ37" s="21"/>
      <c r="CA37" s="21"/>
      <c r="CB37" s="21"/>
      <c r="CC37" s="21"/>
      <c r="CD37" s="112"/>
      <c r="CE37" s="112"/>
      <c r="CF37" s="21"/>
      <c r="CG37" s="21"/>
      <c r="CH37" s="21"/>
      <c r="CI37" s="21"/>
      <c r="CJ37" s="21"/>
      <c r="CK37" s="114"/>
      <c r="CL37" s="112"/>
      <c r="CM37" s="131">
        <v>104</v>
      </c>
      <c r="CN37" s="24" t="str">
        <f>IF(CK23&gt;CK24,CG23,IF(CK23&lt;CK24,CG24,""))</f>
        <v>Spain</v>
      </c>
      <c r="CO37" s="61">
        <v>0</v>
      </c>
      <c r="CP37" s="63">
        <v>1</v>
      </c>
      <c r="CQ37" s="25"/>
      <c r="CR37" s="111">
        <f>IF(OR(CO37="",CO38="",AND(CP37="",CP38&lt;&gt;""),AND(CP38="",CP37&lt;&gt;""),AND(CQ37="",CQ38&lt;&gt;""),AND(CQ38="",CQ37&lt;&gt;"")),"",CO37*1000+CP37*10+CQ37)</f>
        <v>10</v>
      </c>
    </row>
    <row r="38" spans="1:96" x14ac:dyDescent="0.25">
      <c r="A38" s="16">
        <v>32</v>
      </c>
      <c r="B38" s="17" t="str" cm="1">
        <f t="array" ref="B38">INDEX(T,18+INT(MOD(R38-1,7)),lang)</f>
        <v>Fri</v>
      </c>
      <c r="C38" s="18" t="str" cm="1">
        <f t="array" ref="C38">INDEX(T,24+MONTH(R38),lang) &amp; " " &amp; DAY(R38) &amp; ", " &amp; YEAR(R38)</f>
        <v>Jun 19, 2026</v>
      </c>
      <c r="D38" s="120">
        <f t="shared" si="7"/>
        <v>0.83333333333333337</v>
      </c>
      <c r="E38" s="78" t="str">
        <f>AE29</f>
        <v>Turkey</v>
      </c>
      <c r="F38" s="19">
        <v>0</v>
      </c>
      <c r="G38" s="20">
        <v>1</v>
      </c>
      <c r="H38" s="80" t="str">
        <f>AE27</f>
        <v>Paraguay</v>
      </c>
      <c r="J38" s="38" t="str" cm="1">
        <f t="array" ref="J38">INDEX(T,9,lang) &amp; " " &amp; "F"</f>
        <v>Group F</v>
      </c>
      <c r="K38" s="94" t="str" cm="1">
        <f t="array" ref="K38">INDEX(T,10,lang)</f>
        <v>PL</v>
      </c>
      <c r="L38" s="94" t="str" cm="1">
        <f t="array" ref="L38">INDEX(T,11,lang)</f>
        <v>W</v>
      </c>
      <c r="M38" s="94" t="str" cm="1">
        <f t="array" ref="M38">INDEX(T,12,lang)</f>
        <v>DRAW</v>
      </c>
      <c r="N38" s="94" t="str" cm="1">
        <f t="array" ref="N38">INDEX(T,13,lang)</f>
        <v>L</v>
      </c>
      <c r="O38" s="94" t="str" cm="1">
        <f t="array" ref="O38">INDEX(T,14,lang)</f>
        <v>GF - GA</v>
      </c>
      <c r="P38" s="95" t="str" cm="1">
        <f t="array" ref="P38">INDEX(T,15,lang)</f>
        <v>PNT</v>
      </c>
      <c r="R38" s="123">
        <f>DATE(2026,6,19)+TIME(8,0,0)+gmt_delta</f>
        <v>46192.833333333336</v>
      </c>
      <c r="S38" s="127" t="str">
        <f t="shared" si="1"/>
        <v>Turkey_lose</v>
      </c>
      <c r="T38" s="127" t="str">
        <f t="shared" si="2"/>
        <v>Paraguay_win</v>
      </c>
      <c r="U38" s="123">
        <f t="shared" si="8"/>
        <v>0</v>
      </c>
      <c r="V38" s="123">
        <f t="shared" si="3"/>
        <v>0</v>
      </c>
      <c r="W38" s="123">
        <f t="shared" si="4"/>
        <v>0</v>
      </c>
      <c r="X38" s="123">
        <f t="shared" si="9"/>
        <v>0</v>
      </c>
      <c r="Y38" s="123">
        <f t="shared" si="10"/>
        <v>0</v>
      </c>
      <c r="Z38" s="123">
        <f t="shared" si="11"/>
        <v>0</v>
      </c>
      <c r="AA38" s="123">
        <f t="shared" si="5"/>
        <v>0</v>
      </c>
      <c r="AB38" s="123">
        <f t="shared" si="6"/>
        <v>-1</v>
      </c>
      <c r="AD38" s="123">
        <f>COUNTIF(AR38:AR41,CONCATENATE("&gt;=",AR38))</f>
        <v>1</v>
      </c>
      <c r="AE38" s="124" t="str">
        <f>VLOOKUP("Netherlands",T,lang,FALSE)</f>
        <v>Netherlands</v>
      </c>
      <c r="AF38" s="123">
        <f>COUNTIF($S$7:$T$78,"=" &amp; AE38 &amp; "_win")</f>
        <v>2</v>
      </c>
      <c r="AG38" s="123">
        <f>COUNTIF($S$7:$T$78,"=" &amp; AE38 &amp; "_draw")</f>
        <v>1</v>
      </c>
      <c r="AH38" s="123">
        <f>COUNTIF($S$7:$T$78,"=" &amp; AE38 &amp; "_lose")</f>
        <v>0</v>
      </c>
      <c r="AI38" s="123">
        <f>SUMIF($E$7:$E$78,$AE38,$F$7:$F$78) + SUMIF($H$7:$H$78,$AE38,$G$7:$G$78)</f>
        <v>10</v>
      </c>
      <c r="AJ38" s="123">
        <f>SUMIF($E$7:$E$78,$AE38,$G$7:$G$78) + SUMIF($H$7:$H$78,$AE38,$F$7:$F$78)</f>
        <v>4</v>
      </c>
      <c r="AL38" s="123">
        <f>AI38-AJ38</f>
        <v>6</v>
      </c>
      <c r="AM38" s="123">
        <f>AL38-AL42</f>
        <v>16</v>
      </c>
      <c r="AN38" s="123">
        <f>AF38*3+AG38</f>
        <v>7</v>
      </c>
      <c r="AO38" s="123">
        <f>AN38/AN42*10+BA38</f>
        <v>8.75</v>
      </c>
      <c r="AP38" s="123">
        <f>AO38*10000000+BI38*100+AM38/AM42*10+AI38/AI42*1++IF(AQ38=0,ROW(),AQ38)/2000000</f>
        <v>87500010.321734548</v>
      </c>
      <c r="AQ38" s="126">
        <f>VLOOKUP(AE38,db_fifarank,2,FALSE)</f>
        <v>1757.87</v>
      </c>
      <c r="AR38" s="125">
        <f>AP38/AP42</f>
        <v>0.99999998857143002</v>
      </c>
      <c r="AS38" s="125" t="str">
        <f>IF(SUM(AF38:AH41)=12,J39,"1F")</f>
        <v>Netherlands</v>
      </c>
      <c r="AT38" s="126" cm="1">
        <f t="array" ref="AT38">SUMPRODUCT(($S$7:$S$78=AE38&amp;"_win")*($U$7:$U$78))+SUMPRODUCT(($T$7:$T$78=AE38&amp;"_win")*($U$7:$U$78))</f>
        <v>0</v>
      </c>
      <c r="AU38" s="126" cm="1">
        <f t="array" ref="AU38">SUMPRODUCT(($S$7:$S$78=AE38&amp;"_draw")*($U$7:$U$78))+SUMPRODUCT(($T$7:$T$78=AE38&amp;"_draw")*($U$7:$U$78))</f>
        <v>0</v>
      </c>
      <c r="AV38" s="126" cm="1">
        <f t="array" ref="AV38">SUMPRODUCT(($E$7:$E$78=AE38)*($U$7:$U$78)*($F$7:$F$78))+SUMPRODUCT(($H$7:$H$78=AE38)*($U$7:$U$78)*($G$7:$G$78))</f>
        <v>0</v>
      </c>
      <c r="AW38" s="126" cm="1">
        <f t="array" ref="AW38">SUMPRODUCT(($E$7:$E$78=AE38)*($U$7:$U$78)*($G$7:$G$78))+SUMPRODUCT(($H$7:$H$78=AE38)*($U$7:$U$78)*($F$7:$F$78))</f>
        <v>0</v>
      </c>
      <c r="AX38" s="126">
        <f>AV38-AW38</f>
        <v>0</v>
      </c>
      <c r="AY38" s="126">
        <f>AX38-MIN(AX38:AX41)</f>
        <v>0</v>
      </c>
      <c r="AZ38" s="126">
        <f>AT38/AT42*1000+AU38/AU42*100+AY38/AY42*10+AV38/AV42</f>
        <v>0</v>
      </c>
      <c r="BA38" s="126">
        <f>AZ38/AZ42</f>
        <v>0</v>
      </c>
      <c r="BB38" s="126" cm="1">
        <f t="array" ref="BB38">SUMPRODUCT(($S$7:$S$78=AE38&amp;"_win")*($X$7:$X$78))+SUMPRODUCT(($T$7:$T$78=AE38&amp;"_win")*($X$7:$X$78))</f>
        <v>0</v>
      </c>
      <c r="BC38" s="126" cm="1">
        <f t="array" ref="BC38">SUMPRODUCT(($S$7:$S$78=AE38&amp;"_draw")*($X$7:$X$78))+SUMPRODUCT(($T$7:$T$78=AE38&amp;"_draw")*($X$7:$X$78))</f>
        <v>0</v>
      </c>
      <c r="BD38" s="126" cm="1">
        <f t="array" ref="BD38">SUMPRODUCT(($E$7:$E$78=AE38)*($X$7:$X$78)*($F$7:$F$78))+SUMPRODUCT(($H$7:$H$78=AE38)*($X$7:$X$78)*($G$7:$G$78))</f>
        <v>0</v>
      </c>
      <c r="BE38" s="126" cm="1">
        <f t="array" ref="BE38">SUMPRODUCT(($E$7:$E$78=AE38)*($X$7:$X$78)*($G$7:$G$78))+SUMPRODUCT(($H$7:$H$78=AE38)*($X$7:$X$78)*($F$7:$F$78))</f>
        <v>0</v>
      </c>
      <c r="BF38" s="126">
        <f>BD38-BE38</f>
        <v>0</v>
      </c>
      <c r="BG38" s="126">
        <f>BF38-MIN(BF38:BF41)</f>
        <v>0</v>
      </c>
      <c r="BH38" s="126">
        <f>BB38/BB42*1000+BC38/BC42*100+BG38/BG42*10+BD38/BD42</f>
        <v>0</v>
      </c>
      <c r="BI38" s="126">
        <f>BH38/BH42</f>
        <v>0</v>
      </c>
      <c r="BK38" s="131">
        <v>82</v>
      </c>
      <c r="BL38" s="24" t="str">
        <f>AS44</f>
        <v>Belgium</v>
      </c>
      <c r="BM38" s="61">
        <v>3</v>
      </c>
      <c r="BN38" s="63"/>
      <c r="BO38" s="25"/>
      <c r="BP38" s="116">
        <f>IF(OR(BM38="",BM39="",AND(BN38="",BN39&lt;&gt;""),AND(BN39="",BN38&lt;&gt;""),AND(BO38="",BO39&lt;&gt;""),AND(BO39="",BO38&lt;&gt;"")),"",BM38*1000+BN38*10+BO38)</f>
        <v>3000</v>
      </c>
      <c r="BQ38" s="112"/>
      <c r="BW38" s="112"/>
      <c r="BX38" s="112"/>
      <c r="BY38" s="21"/>
      <c r="BZ38" s="21"/>
      <c r="CA38" s="21"/>
      <c r="CB38" s="21"/>
      <c r="CC38" s="21"/>
      <c r="CD38" s="112"/>
      <c r="CE38" s="112"/>
      <c r="CF38" s="21"/>
      <c r="CG38" s="21"/>
      <c r="CH38" s="21"/>
      <c r="CI38" s="21"/>
      <c r="CJ38" s="21"/>
      <c r="CL38" s="115"/>
      <c r="CM38" s="132"/>
      <c r="CN38" s="26" t="str">
        <f>IF(CK55&gt;CK56,CG55,IF(CK55&lt;CK56,CG56,""))</f>
        <v>Argentina</v>
      </c>
      <c r="CO38" s="62">
        <v>0</v>
      </c>
      <c r="CP38" s="64">
        <v>0</v>
      </c>
      <c r="CQ38" s="27"/>
      <c r="CR38" s="111">
        <f>IF(CR37="","",CO38*1000+CP38*10+CQ38)</f>
        <v>0</v>
      </c>
    </row>
    <row r="39" spans="1:96" x14ac:dyDescent="0.25">
      <c r="A39" s="16">
        <v>33</v>
      </c>
      <c r="B39" s="17" t="str" cm="1">
        <f t="array" ref="B39">INDEX(T,18+INT(MOD(R39-1,7)),lang)</f>
        <v>Sat</v>
      </c>
      <c r="C39" s="18" t="str" cm="1">
        <f t="array" ref="C39">INDEX(T,24+MONTH(R39),lang) &amp; " " &amp; DAY(R39) &amp; ", " &amp; YEAR(R39)</f>
        <v>Jun 20, 2026</v>
      </c>
      <c r="D39" s="120">
        <f t="shared" si="7"/>
        <v>0.875</v>
      </c>
      <c r="E39" s="78" t="str">
        <f>AE32</f>
        <v>Germany</v>
      </c>
      <c r="F39" s="19">
        <v>2</v>
      </c>
      <c r="G39" s="20">
        <v>1</v>
      </c>
      <c r="H39" s="80" t="str">
        <f>AE34</f>
        <v>Ivory Coast</v>
      </c>
      <c r="J39" s="30" t="str">
        <f>VLOOKUP(1,AD38:AN41,2,FALSE)</f>
        <v>Netherlands</v>
      </c>
      <c r="K39" s="31">
        <f>L39+M39+N39</f>
        <v>3</v>
      </c>
      <c r="L39" s="31">
        <f>VLOOKUP(1,AD38:AN41,3,FALSE)</f>
        <v>2</v>
      </c>
      <c r="M39" s="31">
        <f>VLOOKUP(1,AD38:AN41,4,FALSE)</f>
        <v>1</v>
      </c>
      <c r="N39" s="31">
        <f>VLOOKUP(1,AD38:AN41,5,FALSE)</f>
        <v>0</v>
      </c>
      <c r="O39" s="31" t="str">
        <f>VLOOKUP(1,AD38:AN41,6,FALSE) &amp; " - " &amp; VLOOKUP(1,AD38:AN41,7,FALSE)</f>
        <v>10 - 4</v>
      </c>
      <c r="P39" s="32">
        <f>L39*3+M39</f>
        <v>7</v>
      </c>
      <c r="R39" s="123">
        <f>DATE(2026,6,20)+TIME(9,0,0)+gmt_delta</f>
        <v>46193.875</v>
      </c>
      <c r="S39" s="127" t="str">
        <f t="shared" si="1"/>
        <v>Germany_win</v>
      </c>
      <c r="T39" s="127" t="str">
        <f t="shared" si="2"/>
        <v>Ivory Coast_lose</v>
      </c>
      <c r="U39" s="123">
        <f t="shared" si="8"/>
        <v>1</v>
      </c>
      <c r="V39" s="123">
        <f t="shared" si="3"/>
        <v>2</v>
      </c>
      <c r="W39" s="123">
        <f t="shared" si="4"/>
        <v>1</v>
      </c>
      <c r="X39" s="123">
        <f t="shared" si="9"/>
        <v>0</v>
      </c>
      <c r="Y39" s="123">
        <f t="shared" si="10"/>
        <v>0</v>
      </c>
      <c r="Z39" s="123">
        <f t="shared" si="11"/>
        <v>0</v>
      </c>
      <c r="AA39" s="123">
        <f t="shared" ref="AA39:AA70" si="17">IF(OR(E39=my_team,H39=my_team),1,IF(INT(MATCH(E39,$AE$8:$AE$78,0)/6)=$AA$6,1,0))</f>
        <v>0</v>
      </c>
      <c r="AB39" s="123">
        <f t="shared" si="6"/>
        <v>1</v>
      </c>
      <c r="AD39" s="123">
        <f>COUNTIF(AR38:AR41,CONCATENATE("&gt;=",AR39))</f>
        <v>2</v>
      </c>
      <c r="AE39" s="124" t="str">
        <f>VLOOKUP("Japan",T,lang,FALSE)</f>
        <v>Japan</v>
      </c>
      <c r="AF39" s="123">
        <f>COUNTIF($S$7:$T$78,"=" &amp; AE39 &amp; "_win")</f>
        <v>1</v>
      </c>
      <c r="AG39" s="123">
        <f>COUNTIF($S$7:$T$78,"=" &amp; AE39 &amp; "_draw")</f>
        <v>2</v>
      </c>
      <c r="AH39" s="123">
        <f>COUNTIF($S$7:$T$78,"=" &amp; AE39 &amp; "_lose")</f>
        <v>0</v>
      </c>
      <c r="AI39" s="123">
        <f>SUMIF($E$7:$E$78,$AE39,$F$7:$F$78) + SUMIF($H$7:$H$78,$AE39,$G$7:$G$78)</f>
        <v>7</v>
      </c>
      <c r="AJ39" s="123">
        <f>SUMIF($E$7:$E$78,$AE39,$G$7:$G$78) + SUMIF($H$7:$H$78,$AE39,$F$7:$F$78)</f>
        <v>3</v>
      </c>
      <c r="AL39" s="123">
        <f>AI39-AJ39</f>
        <v>4</v>
      </c>
      <c r="AM39" s="123">
        <f>AL39-AL42</f>
        <v>14</v>
      </c>
      <c r="AN39" s="123">
        <f>AF39*3+AG39</f>
        <v>5</v>
      </c>
      <c r="AO39" s="123">
        <f>AN39/AN42*10+BA39</f>
        <v>6.25</v>
      </c>
      <c r="AP39" s="123">
        <f>AO39*10000000+BI39*100+AM39/AM42*10+AI39/AI42*1++IF(AQ39=0,ROW(),AQ39)/2000000</f>
        <v>62500008.87248797</v>
      </c>
      <c r="AQ39" s="126">
        <f>VLOOKUP(AE39,db_fifarank,2,FALSE)</f>
        <v>1660.43</v>
      </c>
      <c r="AR39" s="125">
        <f>AP39/AP42</f>
        <v>0.71428572326325279</v>
      </c>
      <c r="AS39" s="125" t="str">
        <f>IF(SUM(AF38:AH41)=12,J40,"2F")</f>
        <v>Japan</v>
      </c>
      <c r="AT39" s="126" cm="1">
        <f t="array" ref="AT39">SUMPRODUCT(($S$7:$S$78=AE39&amp;"_win")*($U$7:$U$78))+SUMPRODUCT(($T$7:$T$78=AE39&amp;"_win")*($U$7:$U$78))</f>
        <v>0</v>
      </c>
      <c r="AU39" s="126" cm="1">
        <f t="array" ref="AU39">SUMPRODUCT(($S$7:$S$78=AE39&amp;"_draw")*($U$7:$U$78))+SUMPRODUCT(($T$7:$T$78=AE39&amp;"_draw")*($U$7:$U$78))</f>
        <v>0</v>
      </c>
      <c r="AV39" s="126" cm="1">
        <f t="array" ref="AV39">SUMPRODUCT(($E$7:$E$78=AE39)*($U$7:$U$78)*($F$7:$F$78))+SUMPRODUCT(($H$7:$H$78=AE39)*($U$7:$U$78)*($G$7:$G$78))</f>
        <v>0</v>
      </c>
      <c r="AW39" s="126" cm="1">
        <f t="array" ref="AW39">SUMPRODUCT(($E$7:$E$78=AE39)*($U$7:$U$78)*($G$7:$G$78))+SUMPRODUCT(($H$7:$H$78=AE39)*($U$7:$U$78)*($F$7:$F$78))</f>
        <v>0</v>
      </c>
      <c r="AX39" s="126">
        <f>AV39-AW39</f>
        <v>0</v>
      </c>
      <c r="AY39" s="126">
        <f>AX39-MIN(AX38:AX41)</f>
        <v>0</v>
      </c>
      <c r="AZ39" s="126">
        <f>AT39/AT42*1000+AU39/AU42*100+AY39/AY42*10+AV39/AV42</f>
        <v>0</v>
      </c>
      <c r="BA39" s="126">
        <f>AZ39/AZ42</f>
        <v>0</v>
      </c>
      <c r="BB39" s="126" cm="1">
        <f t="array" ref="BB39">SUMPRODUCT(($S$7:$S$78=AE39&amp;"_win")*($X$7:$X$78))+SUMPRODUCT(($T$7:$T$78=AE39&amp;"_win")*($X$7:$X$78))</f>
        <v>0</v>
      </c>
      <c r="BC39" s="126" cm="1">
        <f t="array" ref="BC39">SUMPRODUCT(($S$7:$S$78=AE39&amp;"_draw")*($X$7:$X$78))+SUMPRODUCT(($T$7:$T$78=AE39&amp;"_draw")*($X$7:$X$78))</f>
        <v>0</v>
      </c>
      <c r="BD39" s="126" cm="1">
        <f t="array" ref="BD39">SUMPRODUCT(($E$7:$E$78=AE39)*($X$7:$X$78)*($F$7:$F$78))+SUMPRODUCT(($H$7:$H$78=AE39)*($X$7:$X$78)*($G$7:$G$78))</f>
        <v>0</v>
      </c>
      <c r="BE39" s="126" cm="1">
        <f t="array" ref="BE39">SUMPRODUCT(($E$7:$E$78=AE39)*($X$7:$X$78)*($G$7:$G$78))+SUMPRODUCT(($H$7:$H$78=AE39)*($X$7:$X$78)*($F$7:$F$78))</f>
        <v>0</v>
      </c>
      <c r="BF39" s="126">
        <f>BD39-BE39</f>
        <v>0</v>
      </c>
      <c r="BG39" s="126">
        <f>BF39-MIN(BF38:BF41)</f>
        <v>0</v>
      </c>
      <c r="BH39" s="126">
        <f>BB39/BB42*1000+BC39/BC42*100+BG39/BG42*10+BD39/BD42</f>
        <v>0</v>
      </c>
      <c r="BI39" s="126">
        <f>BH39/BH42</f>
        <v>0</v>
      </c>
      <c r="BK39" s="132"/>
      <c r="BL39" s="26" t="str">
        <f>IF(group_round_completed,VLOOKUP('3rd places'!H3,AK80:AS91,9,FALSE),"3rd Group A/E/H/I/J")</f>
        <v>Senegal</v>
      </c>
      <c r="BM39" s="62">
        <v>2</v>
      </c>
      <c r="BN39" s="64"/>
      <c r="BO39" s="27"/>
      <c r="BP39" s="112">
        <f>IF(BP38="","",BM39*1000+BN39*10+BO39)</f>
        <v>2000</v>
      </c>
      <c r="BQ39" s="112"/>
      <c r="BY39" s="21"/>
      <c r="BZ39" s="21"/>
      <c r="CA39" s="21"/>
      <c r="CB39" s="21"/>
      <c r="CC39" s="21"/>
      <c r="CD39" s="112"/>
      <c r="CE39" s="112"/>
      <c r="CF39" s="21"/>
      <c r="CG39" s="21"/>
      <c r="CH39" s="21"/>
      <c r="CI39" s="21"/>
      <c r="CJ39" s="21"/>
      <c r="CK39" s="114"/>
      <c r="CL39" s="112"/>
      <c r="CM39" s="21"/>
      <c r="CN39" s="21"/>
      <c r="CO39" s="21"/>
      <c r="CP39" s="21"/>
      <c r="CQ39" s="21"/>
    </row>
    <row r="40" spans="1:96" x14ac:dyDescent="0.25">
      <c r="A40" s="16">
        <v>34</v>
      </c>
      <c r="B40" s="17" t="str" cm="1">
        <f t="array" ref="B40">INDEX(T,18+INT(MOD(R40-1,7)),lang)</f>
        <v>Sun</v>
      </c>
      <c r="C40" s="18" t="str" cm="1">
        <f t="array" ref="C40">INDEX(T,24+MONTH(R40),lang) &amp; " " &amp; DAY(R40) &amp; ", " &amp; YEAR(R40)</f>
        <v>Jun 21, 2026</v>
      </c>
      <c r="D40" s="120">
        <f t="shared" si="7"/>
        <v>4.1666666666666664E-2</v>
      </c>
      <c r="E40" s="78" t="str">
        <f>AE35</f>
        <v>Ecuador</v>
      </c>
      <c r="F40" s="19">
        <v>0</v>
      </c>
      <c r="G40" s="20">
        <v>0</v>
      </c>
      <c r="H40" s="80" t="str">
        <f>AE33</f>
        <v>Curaçao</v>
      </c>
      <c r="J40" s="33" t="str">
        <f>VLOOKUP(2,AD38:AN41,2,FALSE)</f>
        <v>Japan</v>
      </c>
      <c r="K40" s="23">
        <f>L40+M40+N40</f>
        <v>3</v>
      </c>
      <c r="L40" s="23">
        <f>VLOOKUP(2,AD38:AN41,3,FALSE)</f>
        <v>1</v>
      </c>
      <c r="M40" s="23">
        <f>VLOOKUP(2,AD38:AN41,4,FALSE)</f>
        <v>2</v>
      </c>
      <c r="N40" s="23">
        <f>VLOOKUP(2,AD38:AN41,5,FALSE)</f>
        <v>0</v>
      </c>
      <c r="O40" s="23" t="str">
        <f>VLOOKUP(2,AD38:AN41,6,FALSE) &amp; " - " &amp; VLOOKUP(2,AD38:AN41,7,FALSE)</f>
        <v>7 - 3</v>
      </c>
      <c r="P40" s="34">
        <f>L40*3+M40</f>
        <v>5</v>
      </c>
      <c r="R40" s="123">
        <f>DATE(2026,6,20)+TIME(13,0,0)+gmt_delta</f>
        <v>46194.041666666664</v>
      </c>
      <c r="S40" s="127" t="str">
        <f t="shared" si="1"/>
        <v>Ecuador_draw</v>
      </c>
      <c r="T40" s="127" t="str">
        <f t="shared" si="2"/>
        <v>Curaçao_draw</v>
      </c>
      <c r="U40" s="123">
        <f t="shared" si="8"/>
        <v>0</v>
      </c>
      <c r="V40" s="123">
        <f t="shared" si="3"/>
        <v>0</v>
      </c>
      <c r="W40" s="123">
        <f t="shared" si="4"/>
        <v>0</v>
      </c>
      <c r="X40" s="123">
        <f t="shared" si="9"/>
        <v>0</v>
      </c>
      <c r="Y40" s="123">
        <f t="shared" si="10"/>
        <v>0</v>
      </c>
      <c r="Z40" s="123">
        <f t="shared" si="11"/>
        <v>0</v>
      </c>
      <c r="AA40" s="123">
        <f t="shared" si="17"/>
        <v>0</v>
      </c>
      <c r="AB40" s="123">
        <f t="shared" si="6"/>
        <v>0</v>
      </c>
      <c r="AD40" s="123">
        <f>COUNTIF(AR38:AR41,CONCATENATE("&gt;=",AR40))</f>
        <v>3</v>
      </c>
      <c r="AE40" s="124" t="str">
        <f>VLOOKUP("Sweden",T,lang,FALSE)</f>
        <v>Sweden</v>
      </c>
      <c r="AF40" s="123">
        <f>COUNTIF($S$7:$T$78,"=" &amp; AE40 &amp; "_win")</f>
        <v>1</v>
      </c>
      <c r="AG40" s="123">
        <f>COUNTIF($S$7:$T$78,"=" &amp; AE40 &amp; "_draw")</f>
        <v>1</v>
      </c>
      <c r="AH40" s="123">
        <f>COUNTIF($S$7:$T$78,"=" &amp; AE40 &amp; "_lose")</f>
        <v>1</v>
      </c>
      <c r="AI40" s="123">
        <f>SUMIF($E$7:$E$78,$AE40,$F$7:$F$78) + SUMIF($H$7:$H$78,$AE40,$G$7:$G$78)</f>
        <v>7</v>
      </c>
      <c r="AJ40" s="123">
        <f>SUMIF($E$7:$E$78,$AE40,$G$7:$G$78) + SUMIF($H$7:$H$78,$AE40,$F$7:$F$78)</f>
        <v>7</v>
      </c>
      <c r="AL40" s="123">
        <f>AI40-AJ40</f>
        <v>0</v>
      </c>
      <c r="AM40" s="123">
        <f>AL40-AL42</f>
        <v>10</v>
      </c>
      <c r="AN40" s="123">
        <f>AF40*3+AG40</f>
        <v>4</v>
      </c>
      <c r="AO40" s="123">
        <f>AN40/AN42*10+BA40</f>
        <v>5</v>
      </c>
      <c r="AP40" s="123">
        <f>AO40*10000000+BI40*100+AM40/AM42*10+AI40/AI42*1++IF(AQ40=0,ROW(),AQ40)/2000000</f>
        <v>50000006.519473955</v>
      </c>
      <c r="AQ40" s="126">
        <f>VLOOKUP(AE40,db_fifarank,2,FALSE)</f>
        <v>1514.77</v>
      </c>
      <c r="AR40" s="125">
        <f>AP40/AP42</f>
        <v>0.57142857199898689</v>
      </c>
      <c r="AT40" s="126" cm="1">
        <f t="array" ref="AT40">SUMPRODUCT(($S$7:$S$78=AE40&amp;"_win")*($U$7:$U$78))+SUMPRODUCT(($T$7:$T$78=AE40&amp;"_win")*($U$7:$U$78))</f>
        <v>0</v>
      </c>
      <c r="AU40" s="126" cm="1">
        <f t="array" ref="AU40">SUMPRODUCT(($S$7:$S$78=AE40&amp;"_draw")*($U$7:$U$78))+SUMPRODUCT(($T$7:$T$78=AE40&amp;"_draw")*($U$7:$U$78))</f>
        <v>0</v>
      </c>
      <c r="AV40" s="126" cm="1">
        <f t="array" ref="AV40">SUMPRODUCT(($E$7:$E$78=AE40)*($U$7:$U$78)*($F$7:$F$78))+SUMPRODUCT(($H$7:$H$78=AE40)*($U$7:$U$78)*($G$7:$G$78))</f>
        <v>0</v>
      </c>
      <c r="AW40" s="126" cm="1">
        <f t="array" ref="AW40">SUMPRODUCT(($E$7:$E$78=AE40)*($U$7:$U$78)*($G$7:$G$78))+SUMPRODUCT(($H$7:$H$78=AE40)*($U$7:$U$78)*($F$7:$F$78))</f>
        <v>0</v>
      </c>
      <c r="AX40" s="126">
        <f>AV40-AW40</f>
        <v>0</v>
      </c>
      <c r="AY40" s="126">
        <f>AX40-MIN(AX38:AX41)</f>
        <v>0</v>
      </c>
      <c r="AZ40" s="126">
        <f>AT40/AT42*1000+AU40/AU42*100+AY40/AY42*10+AV40/AV42</f>
        <v>0</v>
      </c>
      <c r="BA40" s="126">
        <f>AZ40/AZ42</f>
        <v>0</v>
      </c>
      <c r="BB40" s="126" cm="1">
        <f t="array" ref="BB40">SUMPRODUCT(($S$7:$S$78=AE40&amp;"_win")*($X$7:$X$78))+SUMPRODUCT(($T$7:$T$78=AE40&amp;"_win")*($X$7:$X$78))</f>
        <v>0</v>
      </c>
      <c r="BC40" s="126" cm="1">
        <f t="array" ref="BC40">SUMPRODUCT(($S$7:$S$78=AE40&amp;"_draw")*($X$7:$X$78))+SUMPRODUCT(($T$7:$T$78=AE40&amp;"_draw")*($X$7:$X$78))</f>
        <v>0</v>
      </c>
      <c r="BD40" s="126" cm="1">
        <f t="array" ref="BD40">SUMPRODUCT(($E$7:$E$78=AE40)*($X$7:$X$78)*($F$7:$F$78))+SUMPRODUCT(($H$7:$H$78=AE40)*($X$7:$X$78)*($G$7:$G$78))</f>
        <v>0</v>
      </c>
      <c r="BE40" s="126" cm="1">
        <f t="array" ref="BE40">SUMPRODUCT(($E$7:$E$78=AE40)*($X$7:$X$78)*($G$7:$G$78))+SUMPRODUCT(($H$7:$H$78=AE40)*($X$7:$X$78)*($F$7:$F$78))</f>
        <v>0</v>
      </c>
      <c r="BF40" s="126">
        <f>BD40-BE40</f>
        <v>0</v>
      </c>
      <c r="BG40" s="126">
        <f>BF40-MIN(BF38:BF41)</f>
        <v>0</v>
      </c>
      <c r="BH40" s="126">
        <f>BB40/BB42*1000+BC40/BC42*100+BG40/BG42*10+BD40/BD42</f>
        <v>0</v>
      </c>
      <c r="BI40" s="126">
        <f>BH40/BH42</f>
        <v>0</v>
      </c>
      <c r="CK40" s="114"/>
      <c r="CL40" s="112"/>
    </row>
    <row r="41" spans="1:96" x14ac:dyDescent="0.25">
      <c r="A41" s="16">
        <v>35</v>
      </c>
      <c r="B41" s="17" t="str" cm="1">
        <f t="array" ref="B41">INDEX(T,18+INT(MOD(R41-1,7)),lang)</f>
        <v>Sat</v>
      </c>
      <c r="C41" s="18" t="str" cm="1">
        <f t="array" ref="C41">INDEX(T,24+MONTH(R41),lang) &amp; " " &amp; DAY(R41) &amp; ", " &amp; YEAR(R41)</f>
        <v>Jun 20, 2026</v>
      </c>
      <c r="D41" s="120">
        <f t="shared" si="7"/>
        <v>0.75</v>
      </c>
      <c r="E41" s="78" t="str">
        <f>AE38</f>
        <v>Netherlands</v>
      </c>
      <c r="F41" s="19">
        <v>5</v>
      </c>
      <c r="G41" s="20">
        <v>1</v>
      </c>
      <c r="H41" s="80" t="str">
        <f>AE40</f>
        <v>Sweden</v>
      </c>
      <c r="J41" s="33" t="str">
        <f>VLOOKUP(3,AD38:AN41,2,FALSE)</f>
        <v>Sweden</v>
      </c>
      <c r="K41" s="23">
        <f>L41+M41+N41</f>
        <v>3</v>
      </c>
      <c r="L41" s="23">
        <f>VLOOKUP(3,AD38:AN41,3,FALSE)</f>
        <v>1</v>
      </c>
      <c r="M41" s="23">
        <f>VLOOKUP(3,AD38:AN41,4,FALSE)</f>
        <v>1</v>
      </c>
      <c r="N41" s="23">
        <f>VLOOKUP(3,AD38:AN41,5,FALSE)</f>
        <v>1</v>
      </c>
      <c r="O41" s="23" t="str">
        <f>VLOOKUP(3,AD38:AN41,6,FALSE) &amp; " - " &amp; VLOOKUP(3,AD38:AN41,7,FALSE)</f>
        <v>7 - 7</v>
      </c>
      <c r="P41" s="34">
        <f>L41*3+M41</f>
        <v>4</v>
      </c>
      <c r="R41" s="123">
        <f>DATE(2026,6,20)+TIME(6,0,0)+gmt_delta</f>
        <v>46193.75</v>
      </c>
      <c r="S41" s="127" t="str">
        <f t="shared" si="1"/>
        <v>Netherlands_win</v>
      </c>
      <c r="T41" s="127" t="str">
        <f t="shared" si="2"/>
        <v>Sweden_lose</v>
      </c>
      <c r="U41" s="123">
        <f t="shared" si="8"/>
        <v>0</v>
      </c>
      <c r="V41" s="123">
        <f t="shared" si="3"/>
        <v>0</v>
      </c>
      <c r="W41" s="123">
        <f t="shared" si="4"/>
        <v>0</v>
      </c>
      <c r="X41" s="123">
        <f t="shared" si="9"/>
        <v>0</v>
      </c>
      <c r="Y41" s="123">
        <f t="shared" si="10"/>
        <v>0</v>
      </c>
      <c r="Z41" s="123">
        <f t="shared" si="11"/>
        <v>0</v>
      </c>
      <c r="AA41" s="123">
        <f t="shared" si="17"/>
        <v>0</v>
      </c>
      <c r="AB41" s="123">
        <f t="shared" si="6"/>
        <v>1</v>
      </c>
      <c r="AD41" s="123">
        <f>COUNTIF(AR38:AR41,CONCATENATE("&gt;=",AR41))</f>
        <v>4</v>
      </c>
      <c r="AE41" s="124" t="str">
        <f>VLOOKUP("Tunisia",T,lang,FALSE)</f>
        <v>Tunisia</v>
      </c>
      <c r="AF41" s="123">
        <f>COUNTIF($S$7:$T$78,"=" &amp; AE41 &amp; "_win")</f>
        <v>0</v>
      </c>
      <c r="AG41" s="123">
        <f>COUNTIF($S$7:$T$78,"=" &amp; AE41 &amp; "_draw")</f>
        <v>0</v>
      </c>
      <c r="AH41" s="123">
        <f>COUNTIF($S$7:$T$78,"=" &amp; AE41 &amp; "_lose")</f>
        <v>3</v>
      </c>
      <c r="AI41" s="123">
        <f>SUMIF($E$7:$E$78,$AE41,$F$7:$F$78) + SUMIF($H$7:$H$78,$AE41,$G$7:$G$78)</f>
        <v>2</v>
      </c>
      <c r="AJ41" s="123">
        <f>SUMIF($E$7:$E$78,$AE41,$G$7:$G$78) + SUMIF($H$7:$H$78,$AE41,$F$7:$F$78)</f>
        <v>12</v>
      </c>
      <c r="AL41" s="123">
        <f>AI41-AJ41</f>
        <v>-10</v>
      </c>
      <c r="AM41" s="123">
        <f>AL41-AL42</f>
        <v>0</v>
      </c>
      <c r="AN41" s="123">
        <f>AF41*3+AG41</f>
        <v>0</v>
      </c>
      <c r="AO41" s="123">
        <f>AN41/AN42*10+BA41</f>
        <v>0</v>
      </c>
      <c r="AP41" s="123">
        <f>AO41*10000000+BI41*100+AM41/AM42*10+AI41/AI42*1++IF(AQ41=0,ROW(),AQ41)/2000000</f>
        <v>0.18255970681818182</v>
      </c>
      <c r="AQ41" s="126">
        <f>VLOOKUP(AE41,db_fifarank,2,FALSE)</f>
        <v>1483.05</v>
      </c>
      <c r="AR41" s="125">
        <f>AP41/AP42</f>
        <v>2.0863963793892096E-9</v>
      </c>
      <c r="AT41" s="126" cm="1">
        <f t="array" ref="AT41">SUMPRODUCT(($S$7:$S$78=AE41&amp;"_win")*($U$7:$U$78))+SUMPRODUCT(($T$7:$T$78=AE41&amp;"_win")*($U$7:$U$78))</f>
        <v>0</v>
      </c>
      <c r="AU41" s="126" cm="1">
        <f t="array" ref="AU41">SUMPRODUCT(($S$7:$S$78=AE41&amp;"_draw")*($U$7:$U$78))+SUMPRODUCT(($T$7:$T$78=AE41&amp;"_draw")*($U$7:$U$78))</f>
        <v>0</v>
      </c>
      <c r="AV41" s="126" cm="1">
        <f t="array" ref="AV41">SUMPRODUCT(($E$7:$E$78=AE41)*($U$7:$U$78)*($F$7:$F$78))+SUMPRODUCT(($H$7:$H$78=AE41)*($U$7:$U$78)*($G$7:$G$78))</f>
        <v>0</v>
      </c>
      <c r="AW41" s="126" cm="1">
        <f t="array" ref="AW41">SUMPRODUCT(($E$7:$E$78=AE41)*($U$7:$U$78)*($G$7:$G$78))+SUMPRODUCT(($H$7:$H$78=AE41)*($U$7:$U$78)*($F$7:$F$78))</f>
        <v>0</v>
      </c>
      <c r="AX41" s="126">
        <f>AV41-AW41</f>
        <v>0</v>
      </c>
      <c r="AY41" s="126">
        <f>AX41-MIN(AX38:AX41)</f>
        <v>0</v>
      </c>
      <c r="AZ41" s="126">
        <f>AT41/AT42*1000+AU41/AU42*100+AY41/AY42*10+AV41/AV42</f>
        <v>0</v>
      </c>
      <c r="BA41" s="126">
        <f>AZ41/AZ42</f>
        <v>0</v>
      </c>
      <c r="BB41" s="126" cm="1">
        <f t="array" ref="BB41">SUMPRODUCT(($S$7:$S$78=AE41&amp;"_win")*($X$7:$X$78))+SUMPRODUCT(($T$7:$T$78=AE41&amp;"_win")*($X$7:$X$78))</f>
        <v>0</v>
      </c>
      <c r="BC41" s="126" cm="1">
        <f t="array" ref="BC41">SUMPRODUCT(($S$7:$S$78=AE41&amp;"_draw")*($X$7:$X$78))+SUMPRODUCT(($T$7:$T$78=AE41&amp;"_draw")*($X$7:$X$78))</f>
        <v>0</v>
      </c>
      <c r="BD41" s="126" cm="1">
        <f t="array" ref="BD41">SUMPRODUCT(($E$7:$E$78=AE41)*($X$7:$X$78)*($F$7:$F$78))+SUMPRODUCT(($H$7:$H$78=AE41)*($X$7:$X$78)*($G$7:$G$78))</f>
        <v>0</v>
      </c>
      <c r="BE41" s="126" cm="1">
        <f t="array" ref="BE41">SUMPRODUCT(($E$7:$E$78=AE41)*($X$7:$X$78)*($G$7:$G$78))+SUMPRODUCT(($H$7:$H$78=AE41)*($X$7:$X$78)*($F$7:$F$78))</f>
        <v>0</v>
      </c>
      <c r="BF41" s="126">
        <f>BD41-BE41</f>
        <v>0</v>
      </c>
      <c r="BG41" s="126">
        <f>BF41-MIN(BF38:BF41)</f>
        <v>0</v>
      </c>
      <c r="BH41" s="126">
        <f>BB41/BB42*1000+BC41/BC42*100+BG41/BG42*10+BD41/BD42</f>
        <v>0</v>
      </c>
      <c r="BI41" s="126">
        <f>BH41/BH42</f>
        <v>0</v>
      </c>
      <c r="BK41" s="21" t="str" cm="1">
        <f t="array" ref="BK41">INDEX(T,24+MONTH(BP41),lang) &amp; " " &amp; DAY(BP41) &amp; ", " &amp; YEAR(BP41) &amp; "   " &amp; (IF(HOUR(BP41)&lt;10,0,"")&amp;HOUR(BP41)) &amp; ":" &amp;  (IF(MINUTE(BP41)&lt;10,0,"")&amp;MINUTE(BP41))</f>
        <v>Jun 29, 2026   18:00</v>
      </c>
      <c r="BL41" s="21"/>
      <c r="BM41" s="21"/>
      <c r="BN41" s="21"/>
      <c r="BO41" s="22"/>
      <c r="BP41" s="112">
        <f>DATE(2026,6,29)+TIME(6,0,0)+gmt_delta</f>
        <v>46202.75</v>
      </c>
      <c r="BQ41" s="112"/>
      <c r="BR41" s="21"/>
      <c r="BS41" s="21"/>
      <c r="BT41" s="21"/>
      <c r="BU41" s="21"/>
      <c r="BV41" s="21"/>
      <c r="BW41" s="112"/>
      <c r="CK41" s="114"/>
      <c r="CL41" s="112"/>
    </row>
    <row r="42" spans="1:96" x14ac:dyDescent="0.25">
      <c r="A42" s="16">
        <v>36</v>
      </c>
      <c r="B42" s="17" t="str" cm="1">
        <f t="array" ref="B42">INDEX(T,18+INT(MOD(R42-1,7)),lang)</f>
        <v>Sun</v>
      </c>
      <c r="C42" s="18" t="str" cm="1">
        <f t="array" ref="C42">INDEX(T,24+MONTH(R42),lang) &amp; " " &amp; DAY(R42) &amp; ", " &amp; YEAR(R42)</f>
        <v>Jun 21, 2026</v>
      </c>
      <c r="D42" s="120">
        <f t="shared" si="7"/>
        <v>0.20833333333333334</v>
      </c>
      <c r="E42" s="78" t="str">
        <f>AE41</f>
        <v>Tunisia</v>
      </c>
      <c r="F42" s="19">
        <v>0</v>
      </c>
      <c r="G42" s="20">
        <v>4</v>
      </c>
      <c r="H42" s="80" t="str">
        <f>AE39</f>
        <v>Japan</v>
      </c>
      <c r="J42" s="35" t="str">
        <f>VLOOKUP(4,AD38:AN41,2,FALSE)</f>
        <v>Tunisia</v>
      </c>
      <c r="K42" s="36">
        <f>L42+M42+N42</f>
        <v>3</v>
      </c>
      <c r="L42" s="36">
        <f>VLOOKUP(4,AD38:AN41,3,FALSE)</f>
        <v>0</v>
      </c>
      <c r="M42" s="36">
        <f>VLOOKUP(4,AD38:AN41,4,FALSE)</f>
        <v>0</v>
      </c>
      <c r="N42" s="36">
        <f>VLOOKUP(4,AD38:AN41,5,FALSE)</f>
        <v>3</v>
      </c>
      <c r="O42" s="36" t="str">
        <f>VLOOKUP(4,AD38:AN41,6,FALSE) &amp; " - " &amp; VLOOKUP(4,AD38:AN41,7,FALSE)</f>
        <v>2 - 12</v>
      </c>
      <c r="P42" s="37">
        <f>L42*3+M42</f>
        <v>0</v>
      </c>
      <c r="R42" s="123">
        <f>DATE(2026,6,20)+TIME(17,0,0)+gmt_delta</f>
        <v>46194.208333333336</v>
      </c>
      <c r="S42" s="127" t="str">
        <f t="shared" si="1"/>
        <v>Tunisia_lose</v>
      </c>
      <c r="T42" s="127" t="str">
        <f t="shared" si="2"/>
        <v>Japan_win</v>
      </c>
      <c r="U42" s="123">
        <f t="shared" si="8"/>
        <v>0</v>
      </c>
      <c r="V42" s="123">
        <f t="shared" si="3"/>
        <v>0</v>
      </c>
      <c r="W42" s="123">
        <f t="shared" si="4"/>
        <v>0</v>
      </c>
      <c r="X42" s="123">
        <f t="shared" si="9"/>
        <v>0</v>
      </c>
      <c r="Y42" s="123">
        <f t="shared" si="10"/>
        <v>0</v>
      </c>
      <c r="Z42" s="123">
        <f t="shared" si="11"/>
        <v>0</v>
      </c>
      <c r="AA42" s="123">
        <f t="shared" si="17"/>
        <v>0</v>
      </c>
      <c r="AB42" s="123">
        <f t="shared" si="6"/>
        <v>-1</v>
      </c>
      <c r="AF42" s="123">
        <f t="shared" ref="AF42:AH42" si="18">MAX(AF38:AF41)-MIN(AF38:AF41)+1</f>
        <v>3</v>
      </c>
      <c r="AG42" s="123">
        <f t="shared" si="18"/>
        <v>3</v>
      </c>
      <c r="AH42" s="123">
        <f t="shared" si="18"/>
        <v>4</v>
      </c>
      <c r="AI42" s="123">
        <f>MAX(AI38:AI41)+1</f>
        <v>11</v>
      </c>
      <c r="AL42" s="123">
        <f>MIN(AL38:AL41)</f>
        <v>-10</v>
      </c>
      <c r="AM42" s="123">
        <f>MAX(AM38:AM41)+1</f>
        <v>17</v>
      </c>
      <c r="AN42" s="123">
        <f>MAX(AN38:AN41)+1</f>
        <v>8</v>
      </c>
      <c r="AO42" s="123">
        <f>MAX(AO38:AO41)+1</f>
        <v>9.75</v>
      </c>
      <c r="AP42" s="123">
        <f>MAX(AP38:AP41)+1</f>
        <v>87500011.321734548</v>
      </c>
      <c r="AT42" s="126">
        <f>MAX(AT38:AT41)-MIN(AT38:AT41)+1</f>
        <v>1</v>
      </c>
      <c r="AU42" s="126">
        <f>MAX(AU38:AU41)-MIN(AU38:AU41)+1</f>
        <v>1</v>
      </c>
      <c r="AV42" s="126">
        <f>MAX(AV38:AV41)-MIN(AV38:AV41)+1</f>
        <v>1</v>
      </c>
      <c r="AW42" s="126">
        <f>MAX(AW38:AW41)-MIN(AW38:AW41)+1</f>
        <v>1</v>
      </c>
      <c r="AY42" s="126">
        <f>MAX(AY38:AY41)-MIN(AY38:AY41)+1</f>
        <v>1</v>
      </c>
      <c r="AZ42" s="126">
        <f>MAX(AZ38:AZ41)+1</f>
        <v>1</v>
      </c>
      <c r="BB42" s="126">
        <f>MAX(BB38:BB41)-MIN(BB38:BB41)+1</f>
        <v>1</v>
      </c>
      <c r="BC42" s="126">
        <f>MAX(BC38:BC41)-MIN(BC38:BC41)+1</f>
        <v>1</v>
      </c>
      <c r="BD42" s="126">
        <f>MAX(BD38:BD41)-MIN(BD38:BD41)+1</f>
        <v>1</v>
      </c>
      <c r="BE42" s="126">
        <f>MAX(BE38:BE41)-MIN(BE38:BE41)+1</f>
        <v>1</v>
      </c>
      <c r="BG42" s="126">
        <f>MAX(BG38:BG41)-MIN(BG38:BG41)+1</f>
        <v>1</v>
      </c>
      <c r="BH42" s="126">
        <f>MAX(BH38:BH41)+1</f>
        <v>1</v>
      </c>
      <c r="BK42" s="131">
        <v>76</v>
      </c>
      <c r="BL42" s="24" t="str">
        <f>AS20</f>
        <v>Brazil</v>
      </c>
      <c r="BM42" s="61">
        <v>2</v>
      </c>
      <c r="BN42" s="63"/>
      <c r="BO42" s="25"/>
      <c r="BP42" s="112">
        <f>IF(OR(BM42="",BM43="",AND(BN42="",BN43&lt;&gt;""),AND(BN43="",BN42&lt;&gt;""),AND(BO42="",BO43&lt;&gt;""),AND(BO43="",BO42&lt;&gt;"")),"",BM42*1000+BN42*10+BO42)</f>
        <v>2000</v>
      </c>
      <c r="BQ42" s="112"/>
      <c r="BR42" s="21"/>
      <c r="BS42" s="21"/>
      <c r="BT42" s="21"/>
      <c r="BU42" s="21"/>
      <c r="BV42" s="21"/>
      <c r="BW42" s="112"/>
      <c r="CK42" s="114"/>
    </row>
    <row r="43" spans="1:96" x14ac:dyDescent="0.25">
      <c r="A43" s="16">
        <v>37</v>
      </c>
      <c r="B43" s="17" t="str" cm="1">
        <f t="array" ref="B43">INDEX(T,18+INT(MOD(R43-1,7)),lang)</f>
        <v>Sun</v>
      </c>
      <c r="C43" s="18" t="str" cm="1">
        <f t="array" ref="C43">INDEX(T,24+MONTH(R43),lang) &amp; " " &amp; DAY(R43) &amp; ", " &amp; YEAR(R43)</f>
        <v>Jun 21, 2026</v>
      </c>
      <c r="D43" s="120">
        <f t="shared" si="7"/>
        <v>0.95833333333333337</v>
      </c>
      <c r="E43" s="78" t="str">
        <f>AE53</f>
        <v>Uruguay</v>
      </c>
      <c r="F43" s="19">
        <v>2</v>
      </c>
      <c r="G43" s="20">
        <v>2</v>
      </c>
      <c r="H43" s="80" t="str">
        <f>AE51</f>
        <v>Cape Verde</v>
      </c>
      <c r="R43" s="123">
        <f>DATE(2026,6,21)+TIME(11,0,0)+gmt_delta</f>
        <v>46194.958333333336</v>
      </c>
      <c r="S43" s="127" t="str">
        <f t="shared" si="1"/>
        <v>Uruguay_draw</v>
      </c>
      <c r="T43" s="127" t="str">
        <f t="shared" si="2"/>
        <v>Cape Verde_draw</v>
      </c>
      <c r="U43" s="123">
        <f t="shared" si="8"/>
        <v>0</v>
      </c>
      <c r="V43" s="123">
        <f t="shared" si="3"/>
        <v>0</v>
      </c>
      <c r="W43" s="123">
        <f t="shared" si="4"/>
        <v>0</v>
      </c>
      <c r="X43" s="123">
        <f t="shared" si="9"/>
        <v>0</v>
      </c>
      <c r="Y43" s="123">
        <f t="shared" si="10"/>
        <v>0</v>
      </c>
      <c r="Z43" s="123">
        <f t="shared" si="11"/>
        <v>0</v>
      </c>
      <c r="AA43" s="123">
        <f t="shared" si="17"/>
        <v>0</v>
      </c>
      <c r="AB43" s="123">
        <f t="shared" si="6"/>
        <v>0</v>
      </c>
      <c r="BK43" s="132"/>
      <c r="BL43" s="26" t="str">
        <f>AS39</f>
        <v>Japan</v>
      </c>
      <c r="BM43" s="62">
        <v>1</v>
      </c>
      <c r="BN43" s="64"/>
      <c r="BO43" s="27"/>
      <c r="BP43" s="113">
        <f>IF(BP42="","",BM43*1000+BN43*10+BO43)</f>
        <v>1000</v>
      </c>
      <c r="BQ43" s="112"/>
      <c r="BR43" s="21" t="str" cm="1">
        <f t="array" ref="BR43">INDEX(T,24+MONTH(BW43),lang) &amp; " " &amp; DAY(BW43) &amp; ", " &amp; YEAR(BW43) &amp; "   " &amp; (IF(HOUR(BW43)&lt;10,0,"")&amp;HOUR(BW43)) &amp; ":" &amp;  (IF(MINUTE(BW43)&lt;10,0,"")&amp;MINUTE(BW43))</f>
        <v>Jul 5, 2026   21:00</v>
      </c>
      <c r="BS43" s="21"/>
      <c r="BT43" s="21"/>
      <c r="BU43" s="21"/>
      <c r="BV43" s="28"/>
      <c r="BW43" s="112">
        <f>DATE(2026,7,5)+TIME(9,0,0)+gmt_delta</f>
        <v>46208.875</v>
      </c>
      <c r="CK43" s="114"/>
    </row>
    <row r="44" spans="1:96" ht="15" customHeight="1" x14ac:dyDescent="0.25">
      <c r="A44" s="16">
        <v>38</v>
      </c>
      <c r="B44" s="17" t="str" cm="1">
        <f t="array" ref="B44">INDEX(T,18+INT(MOD(R44-1,7)),lang)</f>
        <v>Sun</v>
      </c>
      <c r="C44" s="18" t="str" cm="1">
        <f t="array" ref="C44">INDEX(T,24+MONTH(R44),lang) &amp; " " &amp; DAY(R44) &amp; ", " &amp; YEAR(R44)</f>
        <v>Jun 21, 2026</v>
      </c>
      <c r="D44" s="120">
        <f t="shared" si="7"/>
        <v>0.70833333333333337</v>
      </c>
      <c r="E44" s="78" t="str">
        <f>AE50</f>
        <v>Spain</v>
      </c>
      <c r="F44" s="19">
        <v>4</v>
      </c>
      <c r="G44" s="20">
        <v>0</v>
      </c>
      <c r="H44" s="80" t="str">
        <f>AE52</f>
        <v>Saudi Arabia</v>
      </c>
      <c r="J44" s="38" t="str" cm="1">
        <f t="array" ref="J44">INDEX(T,9,lang) &amp; " " &amp; "G"</f>
        <v>Group G</v>
      </c>
      <c r="K44" s="94" t="str" cm="1">
        <f t="array" ref="K44">INDEX(T,10,lang)</f>
        <v>PL</v>
      </c>
      <c r="L44" s="94" t="str" cm="1">
        <f t="array" ref="L44">INDEX(T,11,lang)</f>
        <v>W</v>
      </c>
      <c r="M44" s="94" t="str" cm="1">
        <f t="array" ref="M44">INDEX(T,12,lang)</f>
        <v>DRAW</v>
      </c>
      <c r="N44" s="94" t="str" cm="1">
        <f t="array" ref="N44">INDEX(T,13,lang)</f>
        <v>L</v>
      </c>
      <c r="O44" s="94" t="str" cm="1">
        <f t="array" ref="O44">INDEX(T,14,lang)</f>
        <v>GF - GA</v>
      </c>
      <c r="P44" s="95" t="str" cm="1">
        <f t="array" ref="P44">INDEX(T,15,lang)</f>
        <v>PNT</v>
      </c>
      <c r="R44" s="123">
        <f>DATE(2026,6,21)+TIME(5,0,0)+gmt_delta</f>
        <v>46194.708333333336</v>
      </c>
      <c r="S44" s="127" t="str">
        <f t="shared" si="1"/>
        <v>Spain_win</v>
      </c>
      <c r="T44" s="127" t="str">
        <f t="shared" si="2"/>
        <v>Saudi Arabia_lose</v>
      </c>
      <c r="U44" s="123">
        <f t="shared" si="8"/>
        <v>0</v>
      </c>
      <c r="V44" s="123">
        <f t="shared" si="3"/>
        <v>0</v>
      </c>
      <c r="W44" s="123">
        <f t="shared" si="4"/>
        <v>0</v>
      </c>
      <c r="X44" s="123">
        <f t="shared" si="9"/>
        <v>0</v>
      </c>
      <c r="Y44" s="123">
        <f t="shared" si="10"/>
        <v>0</v>
      </c>
      <c r="Z44" s="123">
        <f t="shared" si="11"/>
        <v>0</v>
      </c>
      <c r="AA44" s="123">
        <f t="shared" si="17"/>
        <v>0</v>
      </c>
      <c r="AB44" s="123">
        <f t="shared" si="6"/>
        <v>1</v>
      </c>
      <c r="AD44" s="123">
        <f>COUNTIF(AR44:AR47,CONCATENATE("&gt;=",AR44))</f>
        <v>1</v>
      </c>
      <c r="AE44" s="124" t="str">
        <f>VLOOKUP("Belgium",T,lang,FALSE)</f>
        <v>Belgium</v>
      </c>
      <c r="AF44" s="123">
        <f>COUNTIF($S$7:$T$78,"=" &amp; AE44 &amp; "_win")</f>
        <v>1</v>
      </c>
      <c r="AG44" s="123">
        <f>COUNTIF($S$7:$T$78,"=" &amp; AE44 &amp; "_draw")</f>
        <v>2</v>
      </c>
      <c r="AH44" s="123">
        <f>COUNTIF($S$7:$T$78,"=" &amp; AE44 &amp; "_lose")</f>
        <v>0</v>
      </c>
      <c r="AI44" s="123">
        <f>SUMIF($E$7:$E$78,$AE44,$F$7:$F$78) + SUMIF($H$7:$H$78,$AE44,$G$7:$G$78)</f>
        <v>6</v>
      </c>
      <c r="AJ44" s="123">
        <f>SUMIF($E$7:$E$78,$AE44,$G$7:$G$78) + SUMIF($H$7:$H$78,$AE44,$F$7:$F$78)</f>
        <v>2</v>
      </c>
      <c r="AL44" s="123">
        <f>AI44-AJ44</f>
        <v>4</v>
      </c>
      <c r="AM44" s="123">
        <f>AL44-AL48</f>
        <v>10</v>
      </c>
      <c r="AN44" s="123">
        <f>AF44*3+AG44</f>
        <v>5</v>
      </c>
      <c r="AO44" s="123">
        <f>AN44/AN48*10+BA44</f>
        <v>9.3139158576051777</v>
      </c>
      <c r="AP44" s="123">
        <f>AO44*10000000+BI44*100+AM44/AM48*10+AI44/AI48*1++IF(AQ44=0,ROW(),AQ44)/2000000</f>
        <v>93139266.583223492</v>
      </c>
      <c r="AQ44" s="126">
        <f>VLOOKUP(AE44,db_fifarank,2,FALSE)</f>
        <v>1734.71</v>
      </c>
      <c r="AR44" s="125">
        <f>AP44/AP48</f>
        <v>0.99999998926338995</v>
      </c>
      <c r="AS44" s="125" t="str">
        <f>IF(SUM(AF44:AH47)=12,J45,"1G")</f>
        <v>Belgium</v>
      </c>
      <c r="AT44" s="126" cm="1">
        <f t="array" ref="AT44">SUMPRODUCT(($S$7:$S$78=AE44&amp;"_win")*($U$7:$U$78))+SUMPRODUCT(($T$7:$T$78=AE44&amp;"_win")*($U$7:$U$78))</f>
        <v>0</v>
      </c>
      <c r="AU44" s="126" cm="1">
        <f t="array" ref="AU44">SUMPRODUCT(($S$7:$S$78=AE44&amp;"_draw")*($U$7:$U$78))+SUMPRODUCT(($T$7:$T$78=AE44&amp;"_draw")*($U$7:$U$78))</f>
        <v>1</v>
      </c>
      <c r="AV44" s="126" cm="1">
        <f t="array" ref="AV44">SUMPRODUCT(($E$7:$E$78=AE44)*($U$7:$U$78)*($F$7:$F$78))+SUMPRODUCT(($H$7:$H$78=AE44)*($U$7:$U$78)*($G$7:$G$78))</f>
        <v>1</v>
      </c>
      <c r="AW44" s="126" cm="1">
        <f t="array" ref="AW44">SUMPRODUCT(($E$7:$E$78=AE44)*($U$7:$U$78)*($G$7:$G$78))+SUMPRODUCT(($H$7:$H$78=AE44)*($U$7:$U$78)*($F$7:$F$78))</f>
        <v>1</v>
      </c>
      <c r="AX44" s="126">
        <f>AV44-AW44</f>
        <v>0</v>
      </c>
      <c r="AY44" s="126">
        <f>AX44-MIN(AX44:AX47)</f>
        <v>0</v>
      </c>
      <c r="AZ44" s="126">
        <f>AT44/AT48*1000+AU44/AU48*100+AY44/AY48*10+AV44/AV48</f>
        <v>50.5</v>
      </c>
      <c r="BA44" s="126">
        <f>AZ44/AZ48</f>
        <v>0.98058252427184467</v>
      </c>
      <c r="BB44" s="126" cm="1">
        <f t="array" ref="BB44">SUMPRODUCT(($S$7:$S$78=AE44&amp;"_win")*($X$7:$X$78))+SUMPRODUCT(($T$7:$T$78=AE44&amp;"_win")*($X$7:$X$78))</f>
        <v>0</v>
      </c>
      <c r="BC44" s="126" cm="1">
        <f t="array" ref="BC44">SUMPRODUCT(($S$7:$S$78=AE44&amp;"_draw")*($X$7:$X$78))+SUMPRODUCT(($T$7:$T$78=AE44&amp;"_draw")*($X$7:$X$78))</f>
        <v>1</v>
      </c>
      <c r="BD44" s="126" cm="1">
        <f t="array" ref="BD44">SUMPRODUCT(($E$7:$E$78=AE44)*($X$7:$X$78)*($F$7:$F$78))+SUMPRODUCT(($H$7:$H$78=AE44)*($X$7:$X$78)*($G$7:$G$78))</f>
        <v>1</v>
      </c>
      <c r="BE44" s="126" cm="1">
        <f t="array" ref="BE44">SUMPRODUCT(($E$7:$E$78=AE44)*($X$7:$X$78)*($G$7:$G$78))+SUMPRODUCT(($H$7:$H$78=AE44)*($X$7:$X$78)*($F$7:$F$78))</f>
        <v>1</v>
      </c>
      <c r="BF44" s="126">
        <f>BD44-BE44</f>
        <v>0</v>
      </c>
      <c r="BG44" s="126">
        <f>BF44-MIN(BF44:BF47)</f>
        <v>0</v>
      </c>
      <c r="BH44" s="126">
        <f>BB44/BB48*1000+BC44/BC48*100+BG44/BG48*10+BD44/BD48</f>
        <v>50.5</v>
      </c>
      <c r="BI44" s="126">
        <f>BH44/BH48</f>
        <v>0.98058252427184467</v>
      </c>
      <c r="BK44" s="21"/>
      <c r="BL44" s="21"/>
      <c r="BM44" s="21"/>
      <c r="BN44" s="21"/>
      <c r="BO44" s="21"/>
      <c r="BP44" s="114"/>
      <c r="BQ44" s="112"/>
      <c r="BR44" s="131">
        <v>91</v>
      </c>
      <c r="BS44" s="24" t="str">
        <f>IF(BP42&gt;BP43,BL42,IF(BP42&lt;BP43,BL43,""))</f>
        <v>Brazil</v>
      </c>
      <c r="BT44" s="61">
        <v>1</v>
      </c>
      <c r="BU44" s="63"/>
      <c r="BV44" s="25"/>
      <c r="BW44" s="112">
        <f>IF(OR(BT44="",BT45="",AND(BU44="",BU45&lt;&gt;""),AND(BU45="",BU44&lt;&gt;""),AND(BV44="",BV45&lt;&gt;""),AND(BV45="",BV44&lt;&gt;"")),"",BT44*1000+BU44*10+BV44)</f>
        <v>1000</v>
      </c>
      <c r="CK44" s="114"/>
      <c r="CM44" s="133" t="str" cm="1">
        <f t="array" ref="CM44">INDEX(T,7,lang)</f>
        <v>Third-Place Play-Off</v>
      </c>
      <c r="CN44" s="134"/>
      <c r="CO44" s="134"/>
      <c r="CP44" s="134"/>
      <c r="CQ44" s="135"/>
    </row>
    <row r="45" spans="1:96" ht="15" customHeight="1" x14ac:dyDescent="0.25">
      <c r="A45" s="16">
        <v>39</v>
      </c>
      <c r="B45" s="17" t="str" cm="1">
        <f t="array" ref="B45">INDEX(T,18+INT(MOD(R45-1,7)),lang)</f>
        <v>Sun</v>
      </c>
      <c r="C45" s="18" t="str" cm="1">
        <f t="array" ref="C45">INDEX(T,24+MONTH(R45),lang) &amp; " " &amp; DAY(R45) &amp; ", " &amp; YEAR(R45)</f>
        <v>Jun 21, 2026</v>
      </c>
      <c r="D45" s="120">
        <f t="shared" si="7"/>
        <v>0.83333333333333337</v>
      </c>
      <c r="E45" s="78" t="str">
        <f>AE44</f>
        <v>Belgium</v>
      </c>
      <c r="F45" s="19">
        <v>0</v>
      </c>
      <c r="G45" s="20">
        <v>0</v>
      </c>
      <c r="H45" s="80" t="str">
        <f>AE46</f>
        <v>Iran</v>
      </c>
      <c r="J45" s="30" t="str">
        <f>VLOOKUP(1,AD44:AN47,2,FALSE)</f>
        <v>Belgium</v>
      </c>
      <c r="K45" s="31">
        <f>L45+M45+N45</f>
        <v>3</v>
      </c>
      <c r="L45" s="31">
        <f>VLOOKUP(1,AD44:AN47,3,FALSE)</f>
        <v>1</v>
      </c>
      <c r="M45" s="31">
        <f>VLOOKUP(1,AD44:AN47,4,FALSE)</f>
        <v>2</v>
      </c>
      <c r="N45" s="31">
        <f>VLOOKUP(1,AD44:AN47,5,FALSE)</f>
        <v>0</v>
      </c>
      <c r="O45" s="31" t="str">
        <f>VLOOKUP(1,AD44:AN47,6,FALSE) &amp; " - " &amp; VLOOKUP(1,AD44:AN47,7,FALSE)</f>
        <v>6 - 2</v>
      </c>
      <c r="P45" s="32">
        <f>L45*3+M45</f>
        <v>5</v>
      </c>
      <c r="R45" s="123">
        <f>DATE(2026,6,21)+TIME(8,0,0)+gmt_delta</f>
        <v>46194.833333333336</v>
      </c>
      <c r="S45" s="127" t="str">
        <f t="shared" si="1"/>
        <v>Belgium_draw</v>
      </c>
      <c r="T45" s="127" t="str">
        <f t="shared" si="2"/>
        <v>Iran_draw</v>
      </c>
      <c r="U45" s="123">
        <f t="shared" si="8"/>
        <v>0</v>
      </c>
      <c r="V45" s="123">
        <f t="shared" si="3"/>
        <v>0</v>
      </c>
      <c r="W45" s="123">
        <f t="shared" si="4"/>
        <v>0</v>
      </c>
      <c r="X45" s="123">
        <f t="shared" si="9"/>
        <v>0</v>
      </c>
      <c r="Y45" s="123">
        <f t="shared" si="10"/>
        <v>0</v>
      </c>
      <c r="Z45" s="123">
        <f t="shared" si="11"/>
        <v>0</v>
      </c>
      <c r="AA45" s="123">
        <f t="shared" si="17"/>
        <v>0</v>
      </c>
      <c r="AB45" s="123">
        <f t="shared" si="6"/>
        <v>0</v>
      </c>
      <c r="AD45" s="123">
        <f>COUNTIF(AR44:AR47,CONCATENATE("&gt;=",AR45))</f>
        <v>2</v>
      </c>
      <c r="AE45" s="124" t="str">
        <f>VLOOKUP("Egypt",T,lang,FALSE)</f>
        <v>Egypt</v>
      </c>
      <c r="AF45" s="123">
        <f>COUNTIF($S$7:$T$78,"=" &amp; AE45 &amp; "_win")</f>
        <v>1</v>
      </c>
      <c r="AG45" s="123">
        <f>COUNTIF($S$7:$T$78,"=" &amp; AE45 &amp; "_draw")</f>
        <v>2</v>
      </c>
      <c r="AH45" s="123">
        <f>COUNTIF($S$7:$T$78,"=" &amp; AE45 &amp; "_lose")</f>
        <v>0</v>
      </c>
      <c r="AI45" s="123">
        <f>SUMIF($E$7:$E$78,$AE45,$F$7:$F$78) + SUMIF($H$7:$H$78,$AE45,$G$7:$G$78)</f>
        <v>5</v>
      </c>
      <c r="AJ45" s="123">
        <f>SUMIF($E$7:$E$78,$AE45,$G$7:$G$78) + SUMIF($H$7:$H$78,$AE45,$F$7:$F$78)</f>
        <v>3</v>
      </c>
      <c r="AL45" s="123">
        <f>AI45-AJ45</f>
        <v>2</v>
      </c>
      <c r="AM45" s="123">
        <f>AL45-AL48</f>
        <v>8</v>
      </c>
      <c r="AN45" s="123">
        <f>AF45*3+AG45</f>
        <v>5</v>
      </c>
      <c r="AO45" s="123">
        <f>AN45/AN48*10+BA45</f>
        <v>9.3139158576051777</v>
      </c>
      <c r="AP45" s="123">
        <f>AO45*10000000+BI45*100+AM45/AM48*10+AI45/AI48*1++IF(AQ45=0,ROW(),AQ45)/2000000</f>
        <v>93139264.622098804</v>
      </c>
      <c r="AQ45" s="126">
        <f>VLOOKUP(AE45,db_fifarank,2,FALSE)</f>
        <v>1563.24</v>
      </c>
      <c r="AR45" s="125">
        <f>AP45/AP48</f>
        <v>0.99999996820755876</v>
      </c>
      <c r="AS45" s="125" t="str">
        <f>IF(SUM(AF44:AH47)=12,J46,"2G")</f>
        <v>Egypt</v>
      </c>
      <c r="AT45" s="126" cm="1">
        <f t="array" ref="AT45">SUMPRODUCT(($S$7:$S$78=AE45&amp;"_win")*($U$7:$U$78))+SUMPRODUCT(($T$7:$T$78=AE45&amp;"_win")*($U$7:$U$78))</f>
        <v>0</v>
      </c>
      <c r="AU45" s="126" cm="1">
        <f t="array" ref="AU45">SUMPRODUCT(($S$7:$S$78=AE45&amp;"_draw")*($U$7:$U$78))+SUMPRODUCT(($T$7:$T$78=AE45&amp;"_draw")*($U$7:$U$78))</f>
        <v>1</v>
      </c>
      <c r="AV45" s="126" cm="1">
        <f t="array" ref="AV45">SUMPRODUCT(($E$7:$E$78=AE45)*($U$7:$U$78)*($F$7:$F$78))+SUMPRODUCT(($H$7:$H$78=AE45)*($U$7:$U$78)*($G$7:$G$78))</f>
        <v>1</v>
      </c>
      <c r="AW45" s="126" cm="1">
        <f t="array" ref="AW45">SUMPRODUCT(($E$7:$E$78=AE45)*($U$7:$U$78)*($G$7:$G$78))+SUMPRODUCT(($H$7:$H$78=AE45)*($U$7:$U$78)*($F$7:$F$78))</f>
        <v>1</v>
      </c>
      <c r="AX45" s="126">
        <f>AV45-AW45</f>
        <v>0</v>
      </c>
      <c r="AY45" s="126">
        <f>AX45-MIN(AX44:AX47)</f>
        <v>0</v>
      </c>
      <c r="AZ45" s="126">
        <f>AT45/AT48*1000+AU45/AU48*100+AY45/AY48*10+AV45/AV48</f>
        <v>50.5</v>
      </c>
      <c r="BA45" s="126">
        <f>AZ45/AZ48</f>
        <v>0.98058252427184467</v>
      </c>
      <c r="BB45" s="126" cm="1">
        <f t="array" ref="BB45">SUMPRODUCT(($S$7:$S$78=AE45&amp;"_win")*($X$7:$X$78))+SUMPRODUCT(($T$7:$T$78=AE45&amp;"_win")*($X$7:$X$78))</f>
        <v>0</v>
      </c>
      <c r="BC45" s="126" cm="1">
        <f t="array" ref="BC45">SUMPRODUCT(($S$7:$S$78=AE45&amp;"_draw")*($X$7:$X$78))+SUMPRODUCT(($T$7:$T$78=AE45&amp;"_draw")*($X$7:$X$78))</f>
        <v>1</v>
      </c>
      <c r="BD45" s="126" cm="1">
        <f t="array" ref="BD45">SUMPRODUCT(($E$7:$E$78=AE45)*($X$7:$X$78)*($F$7:$F$78))+SUMPRODUCT(($H$7:$H$78=AE45)*($X$7:$X$78)*($G$7:$G$78))</f>
        <v>1</v>
      </c>
      <c r="BE45" s="126" cm="1">
        <f t="array" ref="BE45">SUMPRODUCT(($E$7:$E$78=AE45)*($X$7:$X$78)*($G$7:$G$78))+SUMPRODUCT(($H$7:$H$78=AE45)*($X$7:$X$78)*($F$7:$F$78))</f>
        <v>1</v>
      </c>
      <c r="BF45" s="126">
        <f>BD45-BE45</f>
        <v>0</v>
      </c>
      <c r="BG45" s="126">
        <f>BF45-MIN(BF44:BF47)</f>
        <v>0</v>
      </c>
      <c r="BH45" s="126">
        <f>BB45/BB48*1000+BC45/BC48*100+BG45/BG48*10+BD45/BD48</f>
        <v>50.5</v>
      </c>
      <c r="BI45" s="126">
        <f>BH45/BH48</f>
        <v>0.98058252427184467</v>
      </c>
      <c r="BK45" s="21" t="str" cm="1">
        <f t="array" ref="BK45">INDEX(T,24+MONTH(BP45),lang) &amp; " " &amp; DAY(BP45) &amp; ", " &amp; YEAR(BP45) &amp; "   " &amp; (IF(HOUR(BP45)&lt;10,0,"")&amp;HOUR(BP45)) &amp; ":" &amp;  (IF(MINUTE(BP45)&lt;10,0,"")&amp;MINUTE(BP45))</f>
        <v>Jun 30, 2026   18:00</v>
      </c>
      <c r="BL45" s="21"/>
      <c r="BM45" s="21"/>
      <c r="BN45" s="21"/>
      <c r="BO45" s="28"/>
      <c r="BP45" s="114">
        <f>DATE(2026,6,30)+TIME(6,0,0)+gmt_delta</f>
        <v>46203.75</v>
      </c>
      <c r="BQ45" s="115"/>
      <c r="BR45" s="132"/>
      <c r="BS45" s="26" t="str">
        <f>IF(BP46&gt;BP47,BL46,IF(BP46&lt;BP47,BL47,""))</f>
        <v>Norway</v>
      </c>
      <c r="BT45" s="62">
        <v>2</v>
      </c>
      <c r="BU45" s="64"/>
      <c r="BV45" s="27"/>
      <c r="BW45" s="113">
        <f>IF(BW44="","",BT45*1000+BU45*10+BV45)</f>
        <v>2000</v>
      </c>
      <c r="CK45" s="114"/>
      <c r="CM45" s="136"/>
      <c r="CN45" s="137"/>
      <c r="CO45" s="137"/>
      <c r="CP45" s="137"/>
      <c r="CQ45" s="138"/>
    </row>
    <row r="46" spans="1:96" x14ac:dyDescent="0.25">
      <c r="A46" s="16">
        <v>40</v>
      </c>
      <c r="B46" s="17" t="str" cm="1">
        <f t="array" ref="B46">INDEX(T,18+INT(MOD(R46-1,7)),lang)</f>
        <v>Mon</v>
      </c>
      <c r="C46" s="18" t="str" cm="1">
        <f t="array" ref="C46">INDEX(T,24+MONTH(R46),lang) &amp; " " &amp; DAY(R46) &amp; ", " &amp; YEAR(R46)</f>
        <v>Jun 22, 2026</v>
      </c>
      <c r="D46" s="120">
        <f t="shared" si="7"/>
        <v>8.3333333333333329E-2</v>
      </c>
      <c r="E46" s="78" t="str">
        <f>AE47</f>
        <v>New Zealand</v>
      </c>
      <c r="F46" s="19">
        <v>1</v>
      </c>
      <c r="G46" s="20">
        <v>3</v>
      </c>
      <c r="H46" s="80" t="str">
        <f>AE45</f>
        <v>Egypt</v>
      </c>
      <c r="J46" s="33" t="str">
        <f>VLOOKUP(2,AD44:AN47,2,FALSE)</f>
        <v>Egypt</v>
      </c>
      <c r="K46" s="23">
        <f>L46+M46+N46</f>
        <v>3</v>
      </c>
      <c r="L46" s="23">
        <f>VLOOKUP(2,AD44:AN47,3,FALSE)</f>
        <v>1</v>
      </c>
      <c r="M46" s="23">
        <f>VLOOKUP(2,AD44:AN47,4,FALSE)</f>
        <v>2</v>
      </c>
      <c r="N46" s="23">
        <f>VLOOKUP(2,AD44:AN47,5,FALSE)</f>
        <v>0</v>
      </c>
      <c r="O46" s="23" t="str">
        <f>VLOOKUP(2,AD44:AN47,6,FALSE) &amp; " - " &amp; VLOOKUP(2,AD44:AN47,7,FALSE)</f>
        <v>5 - 3</v>
      </c>
      <c r="P46" s="34">
        <f>L46*3+M46</f>
        <v>5</v>
      </c>
      <c r="R46" s="123">
        <f>DATE(2026,6,21)+TIME(14,0,0)+gmt_delta</f>
        <v>46195.083333333336</v>
      </c>
      <c r="S46" s="127" t="str">
        <f t="shared" si="1"/>
        <v>New Zealand_lose</v>
      </c>
      <c r="T46" s="127" t="str">
        <f t="shared" si="2"/>
        <v>Egypt_win</v>
      </c>
      <c r="U46" s="123">
        <f t="shared" si="8"/>
        <v>0</v>
      </c>
      <c r="V46" s="123">
        <f t="shared" si="3"/>
        <v>0</v>
      </c>
      <c r="W46" s="123">
        <f t="shared" si="4"/>
        <v>0</v>
      </c>
      <c r="X46" s="123">
        <f t="shared" si="9"/>
        <v>0</v>
      </c>
      <c r="Y46" s="123">
        <f t="shared" si="10"/>
        <v>0</v>
      </c>
      <c r="Z46" s="123">
        <f t="shared" si="11"/>
        <v>0</v>
      </c>
      <c r="AA46" s="123">
        <f t="shared" si="17"/>
        <v>0</v>
      </c>
      <c r="AB46" s="123">
        <f t="shared" si="6"/>
        <v>-1</v>
      </c>
      <c r="AD46" s="123">
        <f>COUNTIF(AR44:AR47,CONCATENATE("&gt;=",AR46))</f>
        <v>3</v>
      </c>
      <c r="AE46" s="124" t="str">
        <f>VLOOKUP("Iran",T,lang,FALSE)</f>
        <v>Iran</v>
      </c>
      <c r="AF46" s="123">
        <f>COUNTIF($S$7:$T$78,"=" &amp; AE46 &amp; "_win")</f>
        <v>0</v>
      </c>
      <c r="AG46" s="123">
        <f>COUNTIF($S$7:$T$78,"=" &amp; AE46 &amp; "_draw")</f>
        <v>3</v>
      </c>
      <c r="AH46" s="123">
        <f>COUNTIF($S$7:$T$78,"=" &amp; AE46 &amp; "_lose")</f>
        <v>0</v>
      </c>
      <c r="AI46" s="123">
        <f>SUMIF($E$7:$E$78,$AE46,$F$7:$F$78) + SUMIF($H$7:$H$78,$AE46,$G$7:$G$78)</f>
        <v>3</v>
      </c>
      <c r="AJ46" s="123">
        <f>SUMIF($E$7:$E$78,$AE46,$G$7:$G$78) + SUMIF($H$7:$H$78,$AE46,$F$7:$F$78)</f>
        <v>3</v>
      </c>
      <c r="AL46" s="123">
        <f>AI46-AJ46</f>
        <v>0</v>
      </c>
      <c r="AM46" s="123">
        <f>AL46-AL48</f>
        <v>6</v>
      </c>
      <c r="AN46" s="123">
        <f>AF46*3+AG46</f>
        <v>3</v>
      </c>
      <c r="AO46" s="123">
        <f>AN46/AN48*10+BA46</f>
        <v>5</v>
      </c>
      <c r="AP46" s="123">
        <f>AO46*10000000+BI46*100+AM46/AM48*10+AI46/AI48*1++IF(AQ46=0,ROW(),AQ46)/2000000</f>
        <v>50000005.883924529</v>
      </c>
      <c r="AQ46" s="126">
        <f>VLOOKUP(AE46,db_fifarank,2,FALSE)</f>
        <v>1615.3</v>
      </c>
      <c r="AR46" s="125">
        <f>AP46/AP48</f>
        <v>0.53683056761475623</v>
      </c>
      <c r="AT46" s="126" cm="1">
        <f t="array" ref="AT46">SUMPRODUCT(($S$7:$S$78=AE46&amp;"_win")*($U$7:$U$78))+SUMPRODUCT(($T$7:$T$78=AE46&amp;"_win")*($U$7:$U$78))</f>
        <v>0</v>
      </c>
      <c r="AU46" s="126" cm="1">
        <f t="array" ref="AU46">SUMPRODUCT(($S$7:$S$78=AE46&amp;"_draw")*($U$7:$U$78))+SUMPRODUCT(($T$7:$T$78=AE46&amp;"_draw")*($U$7:$U$78))</f>
        <v>0</v>
      </c>
      <c r="AV46" s="126" cm="1">
        <f t="array" ref="AV46">SUMPRODUCT(($E$7:$E$78=AE46)*($U$7:$U$78)*($F$7:$F$78))+SUMPRODUCT(($H$7:$H$78=AE46)*($U$7:$U$78)*($G$7:$G$78))</f>
        <v>0</v>
      </c>
      <c r="AW46" s="126" cm="1">
        <f t="array" ref="AW46">SUMPRODUCT(($E$7:$E$78=AE46)*($U$7:$U$78)*($G$7:$G$78))+SUMPRODUCT(($H$7:$H$78=AE46)*($U$7:$U$78)*($F$7:$F$78))</f>
        <v>0</v>
      </c>
      <c r="AX46" s="126">
        <f>AV46-AW46</f>
        <v>0</v>
      </c>
      <c r="AY46" s="126">
        <f>AX46-MIN(AX44:AX47)</f>
        <v>0</v>
      </c>
      <c r="AZ46" s="126">
        <f>AT46/AT48*1000+AU46/AU48*100+AY46/AY48*10+AV46/AV48</f>
        <v>0</v>
      </c>
      <c r="BA46" s="126">
        <f>AZ46/AZ48</f>
        <v>0</v>
      </c>
      <c r="BB46" s="126" cm="1">
        <f t="array" ref="BB46">SUMPRODUCT(($S$7:$S$78=AE46&amp;"_win")*($X$7:$X$78))+SUMPRODUCT(($T$7:$T$78=AE46&amp;"_win")*($X$7:$X$78))</f>
        <v>0</v>
      </c>
      <c r="BC46" s="126" cm="1">
        <f t="array" ref="BC46">SUMPRODUCT(($S$7:$S$78=AE46&amp;"_draw")*($X$7:$X$78))+SUMPRODUCT(($T$7:$T$78=AE46&amp;"_draw")*($X$7:$X$78))</f>
        <v>0</v>
      </c>
      <c r="BD46" s="126" cm="1">
        <f t="array" ref="BD46">SUMPRODUCT(($E$7:$E$78=AE46)*($X$7:$X$78)*($F$7:$F$78))+SUMPRODUCT(($H$7:$H$78=AE46)*($X$7:$X$78)*($G$7:$G$78))</f>
        <v>0</v>
      </c>
      <c r="BE46" s="126" cm="1">
        <f t="array" ref="BE46">SUMPRODUCT(($E$7:$E$78=AE46)*($X$7:$X$78)*($G$7:$G$78))+SUMPRODUCT(($H$7:$H$78=AE46)*($X$7:$X$78)*($F$7:$F$78))</f>
        <v>0</v>
      </c>
      <c r="BF46" s="126">
        <f>BD46-BE46</f>
        <v>0</v>
      </c>
      <c r="BG46" s="126">
        <f>BF46-MIN(BF44:BF47)</f>
        <v>0</v>
      </c>
      <c r="BH46" s="126">
        <f>BB46/BB48*1000+BC46/BC48*100+BG46/BG48*10+BD46/BD48</f>
        <v>0</v>
      </c>
      <c r="BI46" s="126">
        <f>BH46/BH48</f>
        <v>0</v>
      </c>
      <c r="BK46" s="131">
        <v>78</v>
      </c>
      <c r="BL46" s="24" t="str">
        <f>AS33</f>
        <v>Ivory Coast</v>
      </c>
      <c r="BM46" s="61">
        <v>1</v>
      </c>
      <c r="BN46" s="63"/>
      <c r="BO46" s="25"/>
      <c r="BP46" s="116">
        <f>IF(OR(BM46="",BM47="",AND(BN46="",BN47&lt;&gt;""),AND(BN47="",BN46&lt;&gt;""),AND(BO46="",BO47&lt;&gt;""),AND(BO47="",BO46&lt;&gt;"")),"",BM46*1000+BN46*10+BO46)</f>
        <v>1000</v>
      </c>
      <c r="BQ46" s="112"/>
      <c r="BR46" s="21"/>
      <c r="BS46" s="21"/>
      <c r="BT46" s="21"/>
      <c r="BU46" s="21"/>
      <c r="BV46" s="21"/>
      <c r="BW46" s="114"/>
      <c r="CK46" s="114"/>
      <c r="CL46" s="112"/>
    </row>
    <row r="47" spans="1:96" x14ac:dyDescent="0.25">
      <c r="A47" s="16">
        <v>41</v>
      </c>
      <c r="B47" s="17" t="str" cm="1">
        <f t="array" ref="B47">INDEX(T,18+INT(MOD(R47-1,7)),lang)</f>
        <v>Tue</v>
      </c>
      <c r="C47" s="18" t="str" cm="1">
        <f t="array" ref="C47">INDEX(T,24+MONTH(R47),lang) &amp; " " &amp; DAY(R47) &amp; ", " &amp; YEAR(R47)</f>
        <v>Jun 23, 2026</v>
      </c>
      <c r="D47" s="120">
        <f t="shared" si="7"/>
        <v>4.1666666666666664E-2</v>
      </c>
      <c r="E47" s="78" t="str">
        <f>AE59</f>
        <v>Norway</v>
      </c>
      <c r="F47" s="19">
        <v>3</v>
      </c>
      <c r="G47" s="20">
        <v>2</v>
      </c>
      <c r="H47" s="80" t="str">
        <f>AE57</f>
        <v>Senegal</v>
      </c>
      <c r="J47" s="33" t="str">
        <f>VLOOKUP(3,AD44:AN47,2,FALSE)</f>
        <v>Iran</v>
      </c>
      <c r="K47" s="23">
        <f>L47+M47+N47</f>
        <v>3</v>
      </c>
      <c r="L47" s="23">
        <f>VLOOKUP(3,AD44:AN47,3,FALSE)</f>
        <v>0</v>
      </c>
      <c r="M47" s="23">
        <f>VLOOKUP(3,AD44:AN47,4,FALSE)</f>
        <v>3</v>
      </c>
      <c r="N47" s="23">
        <f>VLOOKUP(3,AD44:AN47,5,FALSE)</f>
        <v>0</v>
      </c>
      <c r="O47" s="23" t="str">
        <f>VLOOKUP(3,AD44:AN47,6,FALSE) &amp; " - " &amp; VLOOKUP(3,AD44:AN47,7,FALSE)</f>
        <v>3 - 3</v>
      </c>
      <c r="P47" s="34">
        <f>L47*3+M47</f>
        <v>3</v>
      </c>
      <c r="R47" s="123">
        <f>DATE(2026,6,22)+TIME(13,0,0)+gmt_delta</f>
        <v>46196.041666666664</v>
      </c>
      <c r="S47" s="127" t="str">
        <f t="shared" ref="S47:S78" si="19">IF(OR(F47="",G47=""),"",IF(F47&gt;G47,E47&amp;"_win",IF(F47&lt;G47,E47&amp;"_lose",E47&amp;"_draw")))</f>
        <v>Norway_win</v>
      </c>
      <c r="T47" s="127" t="str">
        <f t="shared" ref="T47:T78" si="20">IF(S47="","",IF(F47&lt;G47,H47&amp;"_win",IF(F47&gt;G47,H47&amp;"_lose",H47&amp;"_draw")))</f>
        <v>Senegal_lose</v>
      </c>
      <c r="U47" s="123">
        <f t="shared" si="8"/>
        <v>0</v>
      </c>
      <c r="V47" s="123">
        <f t="shared" ref="V47:V78" si="21">U47*F47</f>
        <v>0</v>
      </c>
      <c r="W47" s="123">
        <f t="shared" ref="W47:W78" si="22">U47*G47</f>
        <v>0</v>
      </c>
      <c r="X47" s="123">
        <f t="shared" si="9"/>
        <v>0</v>
      </c>
      <c r="Y47" s="123">
        <f t="shared" si="10"/>
        <v>0</v>
      </c>
      <c r="Z47" s="123">
        <f t="shared" si="11"/>
        <v>0</v>
      </c>
      <c r="AA47" s="123">
        <f t="shared" si="17"/>
        <v>0</v>
      </c>
      <c r="AB47" s="123">
        <f t="shared" ref="AB47:AB78" si="23">IF(OR(F47="",G47=""),"",IF(F47&gt;G47,1,IF(F47&lt;G47,-1,0)))</f>
        <v>1</v>
      </c>
      <c r="AD47" s="123">
        <f>COUNTIF(AR44:AR47,CONCATENATE("&gt;=",AR47))</f>
        <v>4</v>
      </c>
      <c r="AE47" s="124" t="str">
        <f>VLOOKUP("New Zealand",T,lang,FALSE)</f>
        <v>New Zealand</v>
      </c>
      <c r="AF47" s="123">
        <f>COUNTIF($S$7:$T$78,"=" &amp; AE47 &amp; "_win")</f>
        <v>0</v>
      </c>
      <c r="AG47" s="123">
        <f>COUNTIF($S$7:$T$78,"=" &amp; AE47 &amp; "_draw")</f>
        <v>1</v>
      </c>
      <c r="AH47" s="123">
        <f>COUNTIF($S$7:$T$78,"=" &amp; AE47 &amp; "_lose")</f>
        <v>2</v>
      </c>
      <c r="AI47" s="123">
        <f>SUMIF($E$7:$E$78,$AE47,$F$7:$F$78) + SUMIF($H$7:$H$78,$AE47,$G$7:$G$78)</f>
        <v>4</v>
      </c>
      <c r="AJ47" s="123">
        <f>SUMIF($E$7:$E$78,$AE47,$G$7:$G$78) + SUMIF($H$7:$H$78,$AE47,$F$7:$F$78)</f>
        <v>10</v>
      </c>
      <c r="AL47" s="123">
        <f>AI47-AJ47</f>
        <v>-6</v>
      </c>
      <c r="AM47" s="123">
        <f>AL47-AL48</f>
        <v>0</v>
      </c>
      <c r="AN47" s="123">
        <f>AF47*3+AG47</f>
        <v>1</v>
      </c>
      <c r="AO47" s="123">
        <f>AN47/AN48*10+BA47</f>
        <v>1.6666666666666665</v>
      </c>
      <c r="AP47" s="123">
        <f>AO47*10000000+BI47*100+AM47/AM48*10+AI47/AI48*1++IF(AQ47=0,ROW(),AQ47)/2000000</f>
        <v>16666667.238736022</v>
      </c>
      <c r="AQ47" s="126">
        <f>VLOOKUP(AE47,db_fifarank,2,FALSE)</f>
        <v>1281.57</v>
      </c>
      <c r="AR47" s="125">
        <f>AP47/AP48</f>
        <v>0.17894350762253652</v>
      </c>
      <c r="AT47" s="126" cm="1">
        <f t="array" ref="AT47">SUMPRODUCT(($S$7:$S$78=AE47&amp;"_win")*($U$7:$U$78))+SUMPRODUCT(($T$7:$T$78=AE47&amp;"_win")*($U$7:$U$78))</f>
        <v>0</v>
      </c>
      <c r="AU47" s="126" cm="1">
        <f t="array" ref="AU47">SUMPRODUCT(($S$7:$S$78=AE47&amp;"_draw")*($U$7:$U$78))+SUMPRODUCT(($T$7:$T$78=AE47&amp;"_draw")*($U$7:$U$78))</f>
        <v>0</v>
      </c>
      <c r="AV47" s="126" cm="1">
        <f t="array" ref="AV47">SUMPRODUCT(($E$7:$E$78=AE47)*($U$7:$U$78)*($F$7:$F$78))+SUMPRODUCT(($H$7:$H$78=AE47)*($U$7:$U$78)*($G$7:$G$78))</f>
        <v>0</v>
      </c>
      <c r="AW47" s="126" cm="1">
        <f t="array" ref="AW47">SUMPRODUCT(($E$7:$E$78=AE47)*($U$7:$U$78)*($G$7:$G$78))+SUMPRODUCT(($H$7:$H$78=AE47)*($U$7:$U$78)*($F$7:$F$78))</f>
        <v>0</v>
      </c>
      <c r="AX47" s="126">
        <f>AV47-AW47</f>
        <v>0</v>
      </c>
      <c r="AY47" s="126">
        <f>AX47-MIN(AX44:AX47)</f>
        <v>0</v>
      </c>
      <c r="AZ47" s="126">
        <f>AT47/AT48*1000+AU47/AU48*100+AY47/AY48*10+AV47/AV48</f>
        <v>0</v>
      </c>
      <c r="BA47" s="126">
        <f>AZ47/AZ48</f>
        <v>0</v>
      </c>
      <c r="BB47" s="126" cm="1">
        <f t="array" ref="BB47">SUMPRODUCT(($S$7:$S$78=AE47&amp;"_win")*($X$7:$X$78))+SUMPRODUCT(($T$7:$T$78=AE47&amp;"_win")*($X$7:$X$78))</f>
        <v>0</v>
      </c>
      <c r="BC47" s="126" cm="1">
        <f t="array" ref="BC47">SUMPRODUCT(($S$7:$S$78=AE47&amp;"_draw")*($X$7:$X$78))+SUMPRODUCT(($T$7:$T$78=AE47&amp;"_draw")*($X$7:$X$78))</f>
        <v>0</v>
      </c>
      <c r="BD47" s="126" cm="1">
        <f t="array" ref="BD47">SUMPRODUCT(($E$7:$E$78=AE47)*($X$7:$X$78)*($F$7:$F$78))+SUMPRODUCT(($H$7:$H$78=AE47)*($X$7:$X$78)*($G$7:$G$78))</f>
        <v>0</v>
      </c>
      <c r="BE47" s="126" cm="1">
        <f t="array" ref="BE47">SUMPRODUCT(($E$7:$E$78=AE47)*($X$7:$X$78)*($G$7:$G$78))+SUMPRODUCT(($H$7:$H$78=AE47)*($X$7:$X$78)*($F$7:$F$78))</f>
        <v>0</v>
      </c>
      <c r="BF47" s="126">
        <f>BD47-BE47</f>
        <v>0</v>
      </c>
      <c r="BG47" s="126">
        <f>BF47-MIN(BF44:BF47)</f>
        <v>0</v>
      </c>
      <c r="BH47" s="126">
        <f>BB47/BB48*1000+BC47/BC48*100+BG47/BG48*10+BD47/BD48</f>
        <v>0</v>
      </c>
      <c r="BI47" s="126">
        <f>BH47/BH48</f>
        <v>0</v>
      </c>
      <c r="BK47" s="132"/>
      <c r="BL47" s="26" t="str">
        <f>AS57</f>
        <v>Norway</v>
      </c>
      <c r="BM47" s="62">
        <v>2</v>
      </c>
      <c r="BN47" s="64"/>
      <c r="BO47" s="27"/>
      <c r="BP47" s="112">
        <f>IF(BP46="","",BM47*1000+BN47*10+BO47)</f>
        <v>2000</v>
      </c>
      <c r="BQ47" s="112"/>
      <c r="BR47" s="21"/>
      <c r="BS47" s="21"/>
      <c r="BT47" s="21"/>
      <c r="BU47" s="21"/>
      <c r="BV47" s="21"/>
      <c r="BW47" s="114"/>
      <c r="BX47" s="112"/>
      <c r="BY47" s="21" t="str" cm="1">
        <f t="array" ref="BY47">INDEX(T,24+MONTH(CD47),lang) &amp; " " &amp; DAY(CD47) &amp; ", " &amp; YEAR(CD47) &amp; "   " &amp; (IF(HOUR(CD47)&lt;10,0,"")&amp;HOUR(CD47)) &amp; ":" &amp;  (IF(MINUTE(CD47)&lt;10,0,"")&amp;MINUTE(CD47))</f>
        <v>Jul 11, 2026   22:00</v>
      </c>
      <c r="BZ47" s="21"/>
      <c r="CA47" s="21"/>
      <c r="CB47" s="21"/>
      <c r="CC47" s="28"/>
      <c r="CD47" s="112">
        <f>DATE(2026,7,11)+TIME(10,0,0)+gmt_delta</f>
        <v>46214.916666666664</v>
      </c>
      <c r="CK47" s="114"/>
      <c r="CL47" s="112"/>
      <c r="CM47" s="21" t="str" cm="1">
        <f t="array" ref="CM47">INDEX(T,24+MONTH(CR47),lang) &amp; " " &amp; DAY(CR47) &amp; ", " &amp; YEAR(CR47) &amp; "   " &amp; (IF(HOUR(CR47)&lt;10,0,"")&amp;HOUR(CR47)) &amp; ":" &amp;  (IF(MINUTE(CR47)&lt;10,0,"")&amp;MINUTE(CR47))</f>
        <v>Jul 18, 2026   22:00</v>
      </c>
      <c r="CN47" s="21"/>
      <c r="CO47" s="21"/>
      <c r="CP47" s="21"/>
      <c r="CQ47" s="28"/>
      <c r="CR47" s="111">
        <f>DATE(2026,7,18)+TIME(10,0,0)+gmt_delta</f>
        <v>46221.916666666664</v>
      </c>
    </row>
    <row r="48" spans="1:96" x14ac:dyDescent="0.25">
      <c r="A48" s="16">
        <v>42</v>
      </c>
      <c r="B48" s="17" t="str" cm="1">
        <f t="array" ref="B48">INDEX(T,18+INT(MOD(R48-1,7)),lang)</f>
        <v>Mon</v>
      </c>
      <c r="C48" s="18" t="str" cm="1">
        <f t="array" ref="C48">INDEX(T,24+MONTH(R48),lang) &amp; " " &amp; DAY(R48) &amp; ", " &amp; YEAR(R48)</f>
        <v>Jun 22, 2026</v>
      </c>
      <c r="D48" s="120">
        <f t="shared" si="7"/>
        <v>0.875</v>
      </c>
      <c r="E48" s="78" t="str">
        <f>AE56</f>
        <v>France</v>
      </c>
      <c r="F48" s="19">
        <v>3</v>
      </c>
      <c r="G48" s="20">
        <v>0</v>
      </c>
      <c r="H48" s="80" t="str">
        <f>AE58</f>
        <v>Iraq</v>
      </c>
      <c r="J48" s="35" t="str">
        <f>VLOOKUP(4,AD44:AN47,2,FALSE)</f>
        <v>New Zealand</v>
      </c>
      <c r="K48" s="36">
        <f>L48+M48+N48</f>
        <v>3</v>
      </c>
      <c r="L48" s="36">
        <f>VLOOKUP(4,AD44:AN47,3,FALSE)</f>
        <v>0</v>
      </c>
      <c r="M48" s="36">
        <f>VLOOKUP(4,AD44:AN47,4,FALSE)</f>
        <v>1</v>
      </c>
      <c r="N48" s="36">
        <f>VLOOKUP(4,AD44:AN47,5,FALSE)</f>
        <v>2</v>
      </c>
      <c r="O48" s="36" t="str">
        <f>VLOOKUP(4,AD44:AN47,6,FALSE) &amp; " - " &amp; VLOOKUP(4,AD44:AN47,7,FALSE)</f>
        <v>4 - 10</v>
      </c>
      <c r="P48" s="37">
        <f>L48*3+M48</f>
        <v>1</v>
      </c>
      <c r="R48" s="123">
        <f>DATE(2026,6,22)+TIME(105,0,0)+gmt_delta</f>
        <v>46195.875</v>
      </c>
      <c r="S48" s="127" t="str">
        <f t="shared" si="19"/>
        <v>France_win</v>
      </c>
      <c r="T48" s="127" t="str">
        <f t="shared" si="20"/>
        <v>Iraq_lose</v>
      </c>
      <c r="U48" s="123">
        <f t="shared" si="8"/>
        <v>0</v>
      </c>
      <c r="V48" s="123">
        <f t="shared" si="21"/>
        <v>0</v>
      </c>
      <c r="W48" s="123">
        <f t="shared" si="22"/>
        <v>0</v>
      </c>
      <c r="X48" s="123">
        <f t="shared" si="9"/>
        <v>0</v>
      </c>
      <c r="Y48" s="123">
        <f t="shared" si="10"/>
        <v>0</v>
      </c>
      <c r="Z48" s="123">
        <f t="shared" si="11"/>
        <v>0</v>
      </c>
      <c r="AA48" s="123">
        <f t="shared" si="17"/>
        <v>0</v>
      </c>
      <c r="AB48" s="123">
        <f t="shared" si="23"/>
        <v>1</v>
      </c>
      <c r="AF48" s="123">
        <f t="shared" ref="AF48:AH48" si="24">MAX(AF44:AF47)-MIN(AF44:AF47)+1</f>
        <v>2</v>
      </c>
      <c r="AG48" s="123">
        <f t="shared" si="24"/>
        <v>3</v>
      </c>
      <c r="AH48" s="123">
        <f t="shared" si="24"/>
        <v>3</v>
      </c>
      <c r="AI48" s="123">
        <f>MAX(AI44:AI47)+1</f>
        <v>7</v>
      </c>
      <c r="AL48" s="123">
        <f>MIN(AL44:AL47)</f>
        <v>-6</v>
      </c>
      <c r="AM48" s="123">
        <f>MAX(AM44:AM47)+1</f>
        <v>11</v>
      </c>
      <c r="AN48" s="123">
        <f>MAX(AN44:AN47)+1</f>
        <v>6</v>
      </c>
      <c r="AO48" s="123">
        <f>MAX(AO44:AO47)+1</f>
        <v>10.313915857605178</v>
      </c>
      <c r="AP48" s="123">
        <f>MAX(AP44:AP47)+1</f>
        <v>93139267.583223492</v>
      </c>
      <c r="AT48" s="126">
        <f>MAX(AT44:AT47)-MIN(AT44:AT47)+1</f>
        <v>1</v>
      </c>
      <c r="AU48" s="126">
        <f>MAX(AU44:AU47)-MIN(AU44:AU47)+1</f>
        <v>2</v>
      </c>
      <c r="AV48" s="126">
        <f>MAX(AV44:AV47)-MIN(AV44:AV47)+1</f>
        <v>2</v>
      </c>
      <c r="AW48" s="126">
        <f>MAX(AW44:AW47)-MIN(AW44:AW47)+1</f>
        <v>2</v>
      </c>
      <c r="AY48" s="126">
        <f>MAX(AY44:AY47)-MIN(AY44:AY47)+1</f>
        <v>1</v>
      </c>
      <c r="AZ48" s="126">
        <f>MAX(AZ44:AZ47)+1</f>
        <v>51.5</v>
      </c>
      <c r="BB48" s="126">
        <f>MAX(BB44:BB47)-MIN(BB44:BB47)+1</f>
        <v>1</v>
      </c>
      <c r="BC48" s="126">
        <f>MAX(BC44:BC47)-MIN(BC44:BC47)+1</f>
        <v>2</v>
      </c>
      <c r="BD48" s="126">
        <f>MAX(BD44:BD47)-MIN(BD44:BD47)+1</f>
        <v>2</v>
      </c>
      <c r="BE48" s="126">
        <f>MAX(BE44:BE47)-MIN(BE44:BE47)+1</f>
        <v>2</v>
      </c>
      <c r="BG48" s="126">
        <f>MAX(BG44:BG47)-MIN(BG44:BG47)+1</f>
        <v>1</v>
      </c>
      <c r="BH48" s="126">
        <f>MAX(BH44:BH47)+1</f>
        <v>51.5</v>
      </c>
      <c r="BK48" s="21"/>
      <c r="BL48" s="21"/>
      <c r="BM48" s="21"/>
      <c r="BN48" s="21"/>
      <c r="BO48" s="21"/>
      <c r="BP48" s="112"/>
      <c r="BQ48" s="112"/>
      <c r="BR48" s="21"/>
      <c r="BS48" s="21"/>
      <c r="BT48" s="21"/>
      <c r="BU48" s="21"/>
      <c r="BV48" s="21"/>
      <c r="BW48" s="114"/>
      <c r="BX48" s="112"/>
      <c r="BY48" s="131">
        <v>99</v>
      </c>
      <c r="BZ48" s="24" t="str">
        <f>IF(BW44&gt;BW45,BS44,IF(BW44&lt;BW45,BS45,""))</f>
        <v>Norway</v>
      </c>
      <c r="CA48" s="61">
        <v>1</v>
      </c>
      <c r="CB48" s="63">
        <v>1</v>
      </c>
      <c r="CC48" s="25"/>
      <c r="CD48" s="112">
        <f>IF(OR(CA48="",CA49="",AND(CB48="",CB49&lt;&gt;""),AND(CB49="",CB48&lt;&gt;""),AND(CC48="",CC49&lt;&gt;""),AND(CC49="",CC48&lt;&gt;"")),"",CA48*1000+CB48*10+CC48)</f>
        <v>1010</v>
      </c>
      <c r="CK48" s="114"/>
      <c r="CL48" s="112"/>
      <c r="CM48" s="131">
        <v>103</v>
      </c>
      <c r="CN48" s="24" t="str">
        <f>IF(CK23&gt;CK24,CG24,IF(CK23&lt;CK24,CG23,""))</f>
        <v>France</v>
      </c>
      <c r="CO48" s="61">
        <v>4</v>
      </c>
      <c r="CP48" s="63"/>
      <c r="CQ48" s="25"/>
      <c r="CR48" s="111">
        <f>IF(OR(CO48="",CO49="",AND(CP48="",CP49&lt;&gt;""),AND(CP49="",CP48&lt;&gt;""),AND(CQ48="",CQ49&lt;&gt;""),AND(CQ49="",CQ48&lt;&gt;"")),"",CO48*1000+CP48*10+CQ48)</f>
        <v>4000</v>
      </c>
    </row>
    <row r="49" spans="1:96" x14ac:dyDescent="0.25">
      <c r="A49" s="16">
        <v>43</v>
      </c>
      <c r="B49" s="17" t="str" cm="1">
        <f t="array" ref="B49">INDEX(T,18+INT(MOD(R49-1,7)),lang)</f>
        <v>Mon</v>
      </c>
      <c r="C49" s="18" t="str" cm="1">
        <f t="array" ref="C49">INDEX(T,24+MONTH(R49),lang) &amp; " " &amp; DAY(R49) &amp; ", " &amp; YEAR(R49)</f>
        <v>Jun 22, 2026</v>
      </c>
      <c r="D49" s="120">
        <f t="shared" si="7"/>
        <v>0.75</v>
      </c>
      <c r="E49" s="78" t="str">
        <f>AE62</f>
        <v>Argentina</v>
      </c>
      <c r="F49" s="19">
        <v>2</v>
      </c>
      <c r="G49" s="20">
        <v>0</v>
      </c>
      <c r="H49" s="80" t="str">
        <f>AE64</f>
        <v>Austria</v>
      </c>
      <c r="R49" s="123">
        <f>DATE(2026,6,22)+TIME(6,0,0)+gmt_delta</f>
        <v>46195.75</v>
      </c>
      <c r="S49" s="127" t="str">
        <f t="shared" si="19"/>
        <v>Argentina_win</v>
      </c>
      <c r="T49" s="127" t="str">
        <f t="shared" si="20"/>
        <v>Austria_lose</v>
      </c>
      <c r="U49" s="123">
        <f t="shared" si="8"/>
        <v>0</v>
      </c>
      <c r="V49" s="123">
        <f t="shared" si="21"/>
        <v>0</v>
      </c>
      <c r="W49" s="123">
        <f t="shared" si="22"/>
        <v>0</v>
      </c>
      <c r="X49" s="123">
        <f t="shared" si="9"/>
        <v>0</v>
      </c>
      <c r="Y49" s="123">
        <f t="shared" si="10"/>
        <v>0</v>
      </c>
      <c r="Z49" s="123">
        <f t="shared" si="11"/>
        <v>0</v>
      </c>
      <c r="AA49" s="123">
        <f t="shared" si="17"/>
        <v>0</v>
      </c>
      <c r="AB49" s="123">
        <f t="shared" si="23"/>
        <v>1</v>
      </c>
      <c r="BK49" s="21" t="str" cm="1">
        <f t="array" ref="BK49">INDEX(T,24+MONTH(BP49),lang) &amp; " " &amp; DAY(BP49) &amp; ", " &amp; YEAR(BP49) &amp; "   " &amp; (IF(HOUR(BP49)&lt;10,0,"")&amp;HOUR(BP49)) &amp; ":" &amp;  (IF(MINUTE(BP49)&lt;10,0,"")&amp;MINUTE(BP49))</f>
        <v>Jul 1, 2026   02:00</v>
      </c>
      <c r="BL49" s="21"/>
      <c r="BM49" s="21"/>
      <c r="BN49" s="21"/>
      <c r="BO49" s="28"/>
      <c r="BP49" s="112">
        <f>DATE(2026,6,30)+TIME(14,0,0)+gmt_delta</f>
        <v>46204.083333333336</v>
      </c>
      <c r="BQ49" s="112"/>
      <c r="BR49" s="21"/>
      <c r="BS49" s="21"/>
      <c r="BT49" s="21"/>
      <c r="BU49" s="21"/>
      <c r="BV49" s="21"/>
      <c r="BW49" s="114"/>
      <c r="BX49" s="115"/>
      <c r="BY49" s="132"/>
      <c r="BZ49" s="26" t="str">
        <f>IF(BW52&gt;BW53,BS52,IF(BW52&lt;BW53,BS53,""))</f>
        <v>England</v>
      </c>
      <c r="CA49" s="62">
        <v>1</v>
      </c>
      <c r="CB49" s="64">
        <v>2</v>
      </c>
      <c r="CC49" s="27"/>
      <c r="CD49" s="113">
        <f>IF(CD48="","",CA49*1000+CB49*10+CC49)</f>
        <v>1020</v>
      </c>
      <c r="CK49" s="114"/>
      <c r="CL49" s="115"/>
      <c r="CM49" s="132"/>
      <c r="CN49" s="26" t="str">
        <f>IF(CK55&gt;CK56,CG56,IF(CK55&lt;CK56,CG55,""))</f>
        <v>England</v>
      </c>
      <c r="CO49" s="62">
        <v>6</v>
      </c>
      <c r="CP49" s="64"/>
      <c r="CQ49" s="27"/>
      <c r="CR49" s="111">
        <f>IF(CR48="","",CO49*1000+CP49*10+CQ49)</f>
        <v>6000</v>
      </c>
    </row>
    <row r="50" spans="1:96" x14ac:dyDescent="0.25">
      <c r="A50" s="16">
        <v>44</v>
      </c>
      <c r="B50" s="17" t="str" cm="1">
        <f t="array" ref="B50">INDEX(T,18+INT(MOD(R50-1,7)),lang)</f>
        <v>Tue</v>
      </c>
      <c r="C50" s="18" t="str" cm="1">
        <f t="array" ref="C50">INDEX(T,24+MONTH(R50),lang) &amp; " " &amp; DAY(R50) &amp; ", " &amp; YEAR(R50)</f>
        <v>Jun 23, 2026</v>
      </c>
      <c r="D50" s="120">
        <f t="shared" si="7"/>
        <v>0.16666666666666666</v>
      </c>
      <c r="E50" s="78" t="str">
        <f>AE65</f>
        <v>Jordan</v>
      </c>
      <c r="F50" s="19">
        <v>1</v>
      </c>
      <c r="G50" s="20">
        <v>2</v>
      </c>
      <c r="H50" s="80" t="str">
        <f>AE63</f>
        <v>Algeria</v>
      </c>
      <c r="J50" s="38" t="str" cm="1">
        <f t="array" ref="J50">INDEX(T,9,lang) &amp; " " &amp; "H"</f>
        <v>Group H</v>
      </c>
      <c r="K50" s="94" t="str" cm="1">
        <f t="array" ref="K50">INDEX(T,10,lang)</f>
        <v>PL</v>
      </c>
      <c r="L50" s="94" t="str" cm="1">
        <f t="array" ref="L50">INDEX(T,11,lang)</f>
        <v>W</v>
      </c>
      <c r="M50" s="94" t="str" cm="1">
        <f t="array" ref="M50">INDEX(T,12,lang)</f>
        <v>DRAW</v>
      </c>
      <c r="N50" s="94" t="str" cm="1">
        <f t="array" ref="N50">INDEX(T,13,lang)</f>
        <v>L</v>
      </c>
      <c r="O50" s="94" t="str" cm="1">
        <f t="array" ref="O50">INDEX(T,14,lang)</f>
        <v>GF - GA</v>
      </c>
      <c r="P50" s="95" t="str" cm="1">
        <f t="array" ref="P50">INDEX(T,15,lang)</f>
        <v>PNT</v>
      </c>
      <c r="R50" s="123">
        <f>DATE(2026,6,22)+TIME(16,0,0)+gmt_delta</f>
        <v>46196.166666666664</v>
      </c>
      <c r="S50" s="127" t="str">
        <f t="shared" si="19"/>
        <v>Jordan_lose</v>
      </c>
      <c r="T50" s="127" t="str">
        <f t="shared" si="20"/>
        <v>Algeria_win</v>
      </c>
      <c r="U50" s="123">
        <f t="shared" si="8"/>
        <v>0</v>
      </c>
      <c r="V50" s="123">
        <f t="shared" si="21"/>
        <v>0</v>
      </c>
      <c r="W50" s="123">
        <f t="shared" si="22"/>
        <v>0</v>
      </c>
      <c r="X50" s="123">
        <f t="shared" si="9"/>
        <v>0</v>
      </c>
      <c r="Y50" s="123">
        <f t="shared" si="10"/>
        <v>0</v>
      </c>
      <c r="Z50" s="123">
        <f t="shared" si="11"/>
        <v>0</v>
      </c>
      <c r="AA50" s="123">
        <f t="shared" si="17"/>
        <v>0</v>
      </c>
      <c r="AB50" s="123">
        <f t="shared" si="23"/>
        <v>-1</v>
      </c>
      <c r="AD50" s="123">
        <f>COUNTIF(AR50:AR53,CONCATENATE("&gt;=",AR50))</f>
        <v>1</v>
      </c>
      <c r="AE50" s="124" t="str">
        <f>VLOOKUP("Spain",T,lang,FALSE)</f>
        <v>Spain</v>
      </c>
      <c r="AF50" s="123">
        <f>COUNTIF($S$7:$T$78,"=" &amp; AE50 &amp; "_win")</f>
        <v>2</v>
      </c>
      <c r="AG50" s="123">
        <f>COUNTIF($S$7:$T$78,"=" &amp; AE50 &amp; "_draw")</f>
        <v>1</v>
      </c>
      <c r="AH50" s="123">
        <f>COUNTIF($S$7:$T$78,"=" &amp; AE50 &amp; "_lose")</f>
        <v>0</v>
      </c>
      <c r="AI50" s="123">
        <f>SUMIF($E$7:$E$78,$AE50,$F$7:$F$78) + SUMIF($H$7:$H$78,$AE50,$G$7:$G$78)</f>
        <v>5</v>
      </c>
      <c r="AJ50" s="123">
        <f>SUMIF($E$7:$E$78,$AE50,$G$7:$G$78) + SUMIF($H$7:$H$78,$AE50,$F$7:$F$78)</f>
        <v>0</v>
      </c>
      <c r="AL50" s="123">
        <f>AI50-AJ50</f>
        <v>5</v>
      </c>
      <c r="AM50" s="123">
        <f>AL50-AL54</f>
        <v>9</v>
      </c>
      <c r="AN50" s="123">
        <f>AF50*3+AG50</f>
        <v>7</v>
      </c>
      <c r="AO50" s="123">
        <f>AN50/AN54*10+BA50</f>
        <v>8.75</v>
      </c>
      <c r="AP50" s="123">
        <f>AO50*10000000+BI50*100+AM50/AM54*10+AI50/AI54*1++IF(AQ50=0,ROW(),AQ50)/2000000</f>
        <v>87500009.834271535</v>
      </c>
      <c r="AQ50" s="126">
        <f>VLOOKUP(AE50,db_fifarank,2,FALSE)</f>
        <v>1876.4</v>
      </c>
      <c r="AR50" s="125">
        <f>AP50/AP54</f>
        <v>0.99999998857143002</v>
      </c>
      <c r="AS50" s="125" t="str">
        <f>IF(SUM(AF50:AH53)=12,J51,"1H")</f>
        <v>Spain</v>
      </c>
      <c r="AT50" s="126" cm="1">
        <f t="array" ref="AT50">SUMPRODUCT(($S$7:$S$78=AE50&amp;"_win")*($U$7:$U$78))+SUMPRODUCT(($T$7:$T$78=AE50&amp;"_win")*($U$7:$U$78))</f>
        <v>0</v>
      </c>
      <c r="AU50" s="126" cm="1">
        <f t="array" ref="AU50">SUMPRODUCT(($S$7:$S$78=AE50&amp;"_draw")*($U$7:$U$78))+SUMPRODUCT(($T$7:$T$78=AE50&amp;"_draw")*($U$7:$U$78))</f>
        <v>0</v>
      </c>
      <c r="AV50" s="126" cm="1">
        <f t="array" ref="AV50">SUMPRODUCT(($E$7:$E$78=AE50)*($U$7:$U$78)*($F$7:$F$78))+SUMPRODUCT(($H$7:$H$78=AE50)*($U$7:$U$78)*($G$7:$G$78))</f>
        <v>0</v>
      </c>
      <c r="AW50" s="126" cm="1">
        <f t="array" ref="AW50">SUMPRODUCT(($E$7:$E$78=AE50)*($U$7:$U$78)*($G$7:$G$78))+SUMPRODUCT(($H$7:$H$78=AE50)*($U$7:$U$78)*($F$7:$F$78))</f>
        <v>0</v>
      </c>
      <c r="AX50" s="126">
        <f>AV50-AW50</f>
        <v>0</v>
      </c>
      <c r="AY50" s="126">
        <f>AX50-MIN(AX50:AX53)</f>
        <v>0</v>
      </c>
      <c r="AZ50" s="126">
        <f>AT50/AT54*1000+AU50/AU54*100+AY50/AY54*10+AV50/AV54</f>
        <v>0</v>
      </c>
      <c r="BA50" s="126">
        <f>AZ50/AZ54</f>
        <v>0</v>
      </c>
      <c r="BB50" s="126" cm="1">
        <f t="array" ref="BB50">SUMPRODUCT(($S$7:$S$78=AE50&amp;"_win")*($X$7:$X$78))+SUMPRODUCT(($T$7:$T$78=AE50&amp;"_win")*($X$7:$X$78))</f>
        <v>0</v>
      </c>
      <c r="BC50" s="126" cm="1">
        <f t="array" ref="BC50">SUMPRODUCT(($S$7:$S$78=AE50&amp;"_draw")*($X$7:$X$78))+SUMPRODUCT(($T$7:$T$78=AE50&amp;"_draw")*($X$7:$X$78))</f>
        <v>0</v>
      </c>
      <c r="BD50" s="126" cm="1">
        <f t="array" ref="BD50">SUMPRODUCT(($E$7:$E$78=AE50)*($X$7:$X$78)*($F$7:$F$78))+SUMPRODUCT(($H$7:$H$78=AE50)*($X$7:$X$78)*($G$7:$G$78))</f>
        <v>0</v>
      </c>
      <c r="BE50" s="126" cm="1">
        <f t="array" ref="BE50">SUMPRODUCT(($E$7:$E$78=AE50)*($X$7:$X$78)*($G$7:$G$78))+SUMPRODUCT(($H$7:$H$78=AE50)*($X$7:$X$78)*($F$7:$F$78))</f>
        <v>0</v>
      </c>
      <c r="BF50" s="126">
        <f>BD50-BE50</f>
        <v>0</v>
      </c>
      <c r="BG50" s="126">
        <f>BF50-MIN(BF50:BF53)</f>
        <v>0</v>
      </c>
      <c r="BH50" s="126">
        <f>BB50/BB54*1000+BC50/BC54*100+BG50/BG54*10+BD50/BD54</f>
        <v>0</v>
      </c>
      <c r="BI50" s="126">
        <f>BH50/BH54</f>
        <v>0</v>
      </c>
      <c r="BK50" s="131">
        <v>79</v>
      </c>
      <c r="BL50" s="24" t="str">
        <f>AS8</f>
        <v>Mexico</v>
      </c>
      <c r="BM50" s="61">
        <v>2</v>
      </c>
      <c r="BN50" s="63"/>
      <c r="BO50" s="25"/>
      <c r="BP50" s="112">
        <f>IF(OR(BM50="",BM51="",AND(BN50="",BN51&lt;&gt;""),AND(BN51="",BN50&lt;&gt;""),AND(BO50="",BO51&lt;&gt;""),AND(BO51="",BO50&lt;&gt;"")),"",BM50*1000+BN50*10+BO50)</f>
        <v>2000</v>
      </c>
      <c r="BQ50" s="112"/>
      <c r="BR50" s="21"/>
      <c r="BS50" s="21"/>
      <c r="BT50" s="21"/>
      <c r="BU50" s="21"/>
      <c r="BV50" s="21"/>
      <c r="BW50" s="114"/>
      <c r="BX50" s="112"/>
      <c r="BY50" s="21"/>
      <c r="BZ50" s="21"/>
      <c r="CA50" s="21"/>
      <c r="CB50" s="21"/>
      <c r="CC50" s="21"/>
      <c r="CD50" s="114"/>
      <c r="CK50" s="114"/>
      <c r="CL50" s="112"/>
    </row>
    <row r="51" spans="1:96" x14ac:dyDescent="0.25">
      <c r="A51" s="16">
        <v>45</v>
      </c>
      <c r="B51" s="17" t="str" cm="1">
        <f t="array" ref="B51">INDEX(T,18+INT(MOD(R51-1,7)),lang)</f>
        <v>Tue</v>
      </c>
      <c r="C51" s="18" t="str" cm="1">
        <f t="array" ref="C51">INDEX(T,24+MONTH(R51),lang) &amp; " " &amp; DAY(R51) &amp; ", " &amp; YEAR(R51)</f>
        <v>Jun 23, 2026</v>
      </c>
      <c r="D51" s="120">
        <f t="shared" si="7"/>
        <v>0.875</v>
      </c>
      <c r="E51" s="78" t="str">
        <f>AE74</f>
        <v>England</v>
      </c>
      <c r="F51" s="19">
        <v>0</v>
      </c>
      <c r="G51" s="20">
        <v>0</v>
      </c>
      <c r="H51" s="80" t="str">
        <f>AE76</f>
        <v>Ghana</v>
      </c>
      <c r="J51" s="30" t="str">
        <f>VLOOKUP(1,AD50:AN53,2,FALSE)</f>
        <v>Spain</v>
      </c>
      <c r="K51" s="31">
        <f>L51+M51+N51</f>
        <v>3</v>
      </c>
      <c r="L51" s="31">
        <f>VLOOKUP(1,AD50:AN53,3,FALSE)</f>
        <v>2</v>
      </c>
      <c r="M51" s="31">
        <f>VLOOKUP(1,AD50:AN53,4,FALSE)</f>
        <v>1</v>
      </c>
      <c r="N51" s="31">
        <f>VLOOKUP(1,AD50:AN53,5,FALSE)</f>
        <v>0</v>
      </c>
      <c r="O51" s="31" t="str">
        <f>VLOOKUP(1,AD50:AN53,6,FALSE) &amp; " - " &amp; VLOOKUP(1,AD50:AN53,7,FALSE)</f>
        <v>5 - 0</v>
      </c>
      <c r="P51" s="32">
        <f>L51*3+M51</f>
        <v>7</v>
      </c>
      <c r="R51" s="123">
        <f>DATE(2026,6,23)+TIME(9,0,0)+gmt_delta</f>
        <v>46196.875</v>
      </c>
      <c r="S51" s="127" t="str">
        <f t="shared" si="19"/>
        <v>England_draw</v>
      </c>
      <c r="T51" s="127" t="str">
        <f t="shared" si="20"/>
        <v>Ghana_draw</v>
      </c>
      <c r="U51" s="123">
        <f t="shared" si="8"/>
        <v>0</v>
      </c>
      <c r="V51" s="123">
        <f t="shared" si="21"/>
        <v>0</v>
      </c>
      <c r="W51" s="123">
        <f t="shared" si="22"/>
        <v>0</v>
      </c>
      <c r="X51" s="123">
        <f t="shared" si="9"/>
        <v>0</v>
      </c>
      <c r="Y51" s="123">
        <f t="shared" si="10"/>
        <v>0</v>
      </c>
      <c r="Z51" s="123">
        <f t="shared" si="11"/>
        <v>0</v>
      </c>
      <c r="AA51" s="123">
        <f t="shared" si="17"/>
        <v>1</v>
      </c>
      <c r="AB51" s="123">
        <f t="shared" si="23"/>
        <v>0</v>
      </c>
      <c r="AD51" s="123">
        <f>COUNTIF(AR50:AR53,CONCATENATE("&gt;=",AR51))</f>
        <v>2</v>
      </c>
      <c r="AE51" s="124" t="str">
        <f>VLOOKUP("Cape Verde",T,lang,FALSE)</f>
        <v>Cape Verde</v>
      </c>
      <c r="AF51" s="123">
        <f>COUNTIF($S$7:$T$78,"=" &amp; AE51 &amp; "_win")</f>
        <v>0</v>
      </c>
      <c r="AG51" s="123">
        <f>COUNTIF($S$7:$T$78,"=" &amp; AE51 &amp; "_draw")</f>
        <v>3</v>
      </c>
      <c r="AH51" s="123">
        <f>COUNTIF($S$7:$T$78,"=" &amp; AE51 &amp; "_lose")</f>
        <v>0</v>
      </c>
      <c r="AI51" s="123">
        <f>SUMIF($E$7:$E$78,$AE51,$F$7:$F$78) + SUMIF($H$7:$H$78,$AE51,$G$7:$G$78)</f>
        <v>2</v>
      </c>
      <c r="AJ51" s="123">
        <f>SUMIF($E$7:$E$78,$AE51,$G$7:$G$78) + SUMIF($H$7:$H$78,$AE51,$F$7:$F$78)</f>
        <v>2</v>
      </c>
      <c r="AL51" s="123">
        <f>AI51-AJ51</f>
        <v>0</v>
      </c>
      <c r="AM51" s="123">
        <f>AL51-AL54</f>
        <v>4</v>
      </c>
      <c r="AN51" s="123">
        <f>AF51*3+AG51</f>
        <v>3</v>
      </c>
      <c r="AO51" s="123">
        <f>AN51/AN54*10+BA51</f>
        <v>3.75</v>
      </c>
      <c r="AP51" s="123">
        <f>AO51*10000000+BI51*100+AM51/AM54*10+AI51/AI54*1++IF(AQ51=0,ROW(),AQ51)/2000000</f>
        <v>37500004.334016398</v>
      </c>
      <c r="AQ51" s="126">
        <f>VLOOKUP(AE51,db_fifarank,2,FALSE)</f>
        <v>1366.13</v>
      </c>
      <c r="AR51" s="125">
        <f>AP51/AP54</f>
        <v>0.42857142503722523</v>
      </c>
      <c r="AS51" s="125" t="str">
        <f>IF(SUM(AF50:AH53)=12,J52,"2H")</f>
        <v>Cape Verde</v>
      </c>
      <c r="AT51" s="126" cm="1">
        <f t="array" ref="AT51">SUMPRODUCT(($S$7:$S$78=AE51&amp;"_win")*($U$7:$U$78))+SUMPRODUCT(($T$7:$T$78=AE51&amp;"_win")*($U$7:$U$78))</f>
        <v>0</v>
      </c>
      <c r="AU51" s="126" cm="1">
        <f t="array" ref="AU51">SUMPRODUCT(($S$7:$S$78=AE51&amp;"_draw")*($U$7:$U$78))+SUMPRODUCT(($T$7:$T$78=AE51&amp;"_draw")*($U$7:$U$78))</f>
        <v>0</v>
      </c>
      <c r="AV51" s="126" cm="1">
        <f t="array" ref="AV51">SUMPRODUCT(($E$7:$E$78=AE51)*($U$7:$U$78)*($F$7:$F$78))+SUMPRODUCT(($H$7:$H$78=AE51)*($U$7:$U$78)*($G$7:$G$78))</f>
        <v>0</v>
      </c>
      <c r="AW51" s="126" cm="1">
        <f t="array" ref="AW51">SUMPRODUCT(($E$7:$E$78=AE51)*($U$7:$U$78)*($G$7:$G$78))+SUMPRODUCT(($H$7:$H$78=AE51)*($U$7:$U$78)*($F$7:$F$78))</f>
        <v>0</v>
      </c>
      <c r="AX51" s="126">
        <f>AV51-AW51</f>
        <v>0</v>
      </c>
      <c r="AY51" s="126">
        <f>AX51-MIN(AX50:AX53)</f>
        <v>0</v>
      </c>
      <c r="AZ51" s="126">
        <f>AT51/AT54*1000+AU51/AU54*100+AY51/AY54*10+AV51/AV54</f>
        <v>0</v>
      </c>
      <c r="BA51" s="126">
        <f>AZ51/AZ54</f>
        <v>0</v>
      </c>
      <c r="BB51" s="126" cm="1">
        <f t="array" ref="BB51">SUMPRODUCT(($S$7:$S$78=AE51&amp;"_win")*($X$7:$X$78))+SUMPRODUCT(($T$7:$T$78=AE51&amp;"_win")*($X$7:$X$78))</f>
        <v>0</v>
      </c>
      <c r="BC51" s="126" cm="1">
        <f t="array" ref="BC51">SUMPRODUCT(($S$7:$S$78=AE51&amp;"_draw")*($X$7:$X$78))+SUMPRODUCT(($T$7:$T$78=AE51&amp;"_draw")*($X$7:$X$78))</f>
        <v>0</v>
      </c>
      <c r="BD51" s="126" cm="1">
        <f t="array" ref="BD51">SUMPRODUCT(($E$7:$E$78=AE51)*($X$7:$X$78)*($F$7:$F$78))+SUMPRODUCT(($H$7:$H$78=AE51)*($X$7:$X$78)*($G$7:$G$78))</f>
        <v>0</v>
      </c>
      <c r="BE51" s="126" cm="1">
        <f t="array" ref="BE51">SUMPRODUCT(($E$7:$E$78=AE51)*($X$7:$X$78)*($G$7:$G$78))+SUMPRODUCT(($H$7:$H$78=AE51)*($X$7:$X$78)*($F$7:$F$78))</f>
        <v>0</v>
      </c>
      <c r="BF51" s="126">
        <f>BD51-BE51</f>
        <v>0</v>
      </c>
      <c r="BG51" s="126">
        <f>BF51-MIN(BF50:BF53)</f>
        <v>0</v>
      </c>
      <c r="BH51" s="126">
        <f>BB51/BB54*1000+BC51/BC54*100+BG51/BG54*10+BD51/BD54</f>
        <v>0</v>
      </c>
      <c r="BI51" s="126">
        <f>BH51/BH54</f>
        <v>0</v>
      </c>
      <c r="BK51" s="132"/>
      <c r="BL51" s="26" t="str">
        <f>IF(group_round_completed,VLOOKUP('3rd places'!D3,AK80:AS91,9,FALSE),"3rd Group C/E/F/H/I")</f>
        <v>Ecuador</v>
      </c>
      <c r="BM51" s="62">
        <v>0</v>
      </c>
      <c r="BN51" s="64"/>
      <c r="BO51" s="27"/>
      <c r="BP51" s="113">
        <f>IF(BP50="","",BM51*1000+BN51*10+BO51)</f>
        <v>0</v>
      </c>
      <c r="BQ51" s="112"/>
      <c r="BR51" s="21" t="str" cm="1">
        <f t="array" ref="BR51">INDEX(T,24+MONTH(BW51),lang) &amp; " " &amp; DAY(BW51) &amp; ", " &amp; YEAR(BW51) &amp; "   " &amp; (IF(HOUR(BW51)&lt;10,0,"")&amp;HOUR(BW51)) &amp; ":" &amp;  (IF(MINUTE(BW51)&lt;10,0,"")&amp;MINUTE(BW51))</f>
        <v>Jul 6, 2026   01:00</v>
      </c>
      <c r="BS51" s="21"/>
      <c r="BT51" s="21"/>
      <c r="BU51" s="21"/>
      <c r="BV51" s="28"/>
      <c r="BW51" s="114">
        <f>DATE(2026,7,5)+TIME(13,0,0)+gmt_delta</f>
        <v>46209.041666666664</v>
      </c>
      <c r="BX51" s="112"/>
      <c r="BY51" s="21"/>
      <c r="BZ51" s="21"/>
      <c r="CA51" s="21"/>
      <c r="CB51" s="21"/>
      <c r="CC51" s="21"/>
      <c r="CD51" s="114"/>
      <c r="CK51" s="114"/>
      <c r="CL51" s="112"/>
    </row>
    <row r="52" spans="1:96" x14ac:dyDescent="0.25">
      <c r="A52" s="16">
        <v>46</v>
      </c>
      <c r="B52" s="17" t="str" cm="1">
        <f t="array" ref="B52">INDEX(T,18+INT(MOD(R52-1,7)),lang)</f>
        <v>Wed</v>
      </c>
      <c r="C52" s="18" t="str" cm="1">
        <f t="array" ref="C52">INDEX(T,24+MONTH(R52),lang) &amp; " " &amp; DAY(R52) &amp; ", " &amp; YEAR(R52)</f>
        <v>Jun 24, 2026</v>
      </c>
      <c r="D52" s="120">
        <f t="shared" si="7"/>
        <v>0</v>
      </c>
      <c r="E52" s="78" t="str">
        <f>AE77</f>
        <v>Panama</v>
      </c>
      <c r="F52" s="19">
        <v>0</v>
      </c>
      <c r="G52" s="20">
        <v>1</v>
      </c>
      <c r="H52" s="80" t="str">
        <f>AE75</f>
        <v>Croatia</v>
      </c>
      <c r="J52" s="33" t="str">
        <f>VLOOKUP(2,AD50:AN53,2,FALSE)</f>
        <v>Cape Verde</v>
      </c>
      <c r="K52" s="23">
        <f>L52+M52+N52</f>
        <v>3</v>
      </c>
      <c r="L52" s="23">
        <f>VLOOKUP(2,AD50:AN53,3,FALSE)</f>
        <v>0</v>
      </c>
      <c r="M52" s="23">
        <f>VLOOKUP(2,AD50:AN53,4,FALSE)</f>
        <v>3</v>
      </c>
      <c r="N52" s="23">
        <f>VLOOKUP(2,AD50:AN53,5,FALSE)</f>
        <v>0</v>
      </c>
      <c r="O52" s="23" t="str">
        <f>VLOOKUP(2,AD50:AN53,6,FALSE) &amp; " - " &amp; VLOOKUP(2,AD50:AN53,7,FALSE)</f>
        <v>2 - 2</v>
      </c>
      <c r="P52" s="34">
        <f>L52*3+M52</f>
        <v>3</v>
      </c>
      <c r="R52" s="123">
        <f>DATE(2026,6,23)+TIME(12,0,0)+gmt_delta</f>
        <v>46197</v>
      </c>
      <c r="S52" s="127" t="str">
        <f t="shared" si="19"/>
        <v>Panama_lose</v>
      </c>
      <c r="T52" s="127" t="str">
        <f t="shared" si="20"/>
        <v>Croatia_win</v>
      </c>
      <c r="U52" s="123">
        <f t="shared" si="8"/>
        <v>0</v>
      </c>
      <c r="V52" s="123">
        <f t="shared" si="21"/>
        <v>0</v>
      </c>
      <c r="W52" s="123">
        <f t="shared" si="22"/>
        <v>0</v>
      </c>
      <c r="X52" s="123">
        <f t="shared" si="9"/>
        <v>0</v>
      </c>
      <c r="Y52" s="123">
        <f t="shared" si="10"/>
        <v>0</v>
      </c>
      <c r="Z52" s="123">
        <f t="shared" si="11"/>
        <v>0</v>
      </c>
      <c r="AA52" s="123">
        <f t="shared" si="17"/>
        <v>0</v>
      </c>
      <c r="AB52" s="123">
        <f t="shared" si="23"/>
        <v>-1</v>
      </c>
      <c r="AD52" s="123">
        <f>COUNTIF(AR50:AR53,CONCATENATE("&gt;=",AR52))</f>
        <v>4</v>
      </c>
      <c r="AE52" s="124" t="str">
        <f>VLOOKUP("Saudi Arabia",T,lang,FALSE)</f>
        <v>Saudi Arabia</v>
      </c>
      <c r="AF52" s="123">
        <f>COUNTIF($S$7:$T$78,"=" &amp; AE52 &amp; "_win")</f>
        <v>0</v>
      </c>
      <c r="AG52" s="123">
        <f>COUNTIF($S$7:$T$78,"=" &amp; AE52 &amp; "_draw")</f>
        <v>2</v>
      </c>
      <c r="AH52" s="123">
        <f>COUNTIF($S$7:$T$78,"=" &amp; AE52 &amp; "_lose")</f>
        <v>1</v>
      </c>
      <c r="AI52" s="123">
        <f>SUMIF($E$7:$E$78,$AE52,$F$7:$F$78) + SUMIF($H$7:$H$78,$AE52,$G$7:$G$78)</f>
        <v>1</v>
      </c>
      <c r="AJ52" s="123">
        <f>SUMIF($E$7:$E$78,$AE52,$G$7:$G$78) + SUMIF($H$7:$H$78,$AE52,$F$7:$F$78)</f>
        <v>5</v>
      </c>
      <c r="AL52" s="123">
        <f>AI52-AJ52</f>
        <v>-4</v>
      </c>
      <c r="AM52" s="123">
        <f>AL52-AL54</f>
        <v>0</v>
      </c>
      <c r="AN52" s="123">
        <f>AF52*3+AG52</f>
        <v>2</v>
      </c>
      <c r="AO52" s="123">
        <f>AN52/AN54*10+BA52</f>
        <v>3.4805825242718447</v>
      </c>
      <c r="AP52" s="123">
        <f>AO52*10000000+BI52*100+AM52/AM54*10+AI52/AI54*1++IF(AQ52=0,ROW(),AQ52)/2000000</f>
        <v>34805923.46834825</v>
      </c>
      <c r="AQ52" s="126">
        <f>VLOOKUP(AE52,db_fifarank,2,FALSE)</f>
        <v>1421.43</v>
      </c>
      <c r="AR52" s="125">
        <f>AP52/AP54</f>
        <v>0.39778193324195171</v>
      </c>
      <c r="AT52" s="126" cm="1">
        <f t="array" ref="AT52">SUMPRODUCT(($S$7:$S$78=AE52&amp;"_win")*($U$7:$U$78))+SUMPRODUCT(($T$7:$T$78=AE52&amp;"_win")*($U$7:$U$78))</f>
        <v>0</v>
      </c>
      <c r="AU52" s="126" cm="1">
        <f t="array" ref="AU52">SUMPRODUCT(($S$7:$S$78=AE52&amp;"_draw")*($U$7:$U$78))+SUMPRODUCT(($T$7:$T$78=AE52&amp;"_draw")*($U$7:$U$78))</f>
        <v>1</v>
      </c>
      <c r="AV52" s="126" cm="1">
        <f t="array" ref="AV52">SUMPRODUCT(($E$7:$E$78=AE52)*($U$7:$U$78)*($F$7:$F$78))+SUMPRODUCT(($H$7:$H$78=AE52)*($U$7:$U$78)*($G$7:$G$78))</f>
        <v>1</v>
      </c>
      <c r="AW52" s="126" cm="1">
        <f t="array" ref="AW52">SUMPRODUCT(($E$7:$E$78=AE52)*($U$7:$U$78)*($G$7:$G$78))+SUMPRODUCT(($H$7:$H$78=AE52)*($U$7:$U$78)*($F$7:$F$78))</f>
        <v>1</v>
      </c>
      <c r="AX52" s="126">
        <f>AV52-AW52</f>
        <v>0</v>
      </c>
      <c r="AY52" s="126">
        <f>AX52-MIN(AX50:AX53)</f>
        <v>0</v>
      </c>
      <c r="AZ52" s="126">
        <f>AT52/AT54*1000+AU52/AU54*100+AY52/AY54*10+AV52/AV54</f>
        <v>50.5</v>
      </c>
      <c r="BA52" s="126">
        <f>AZ52/AZ54</f>
        <v>0.98058252427184467</v>
      </c>
      <c r="BB52" s="126" cm="1">
        <f t="array" ref="BB52">SUMPRODUCT(($S$7:$S$78=AE52&amp;"_win")*($X$7:$X$78))+SUMPRODUCT(($T$7:$T$78=AE52&amp;"_win")*($X$7:$X$78))</f>
        <v>0</v>
      </c>
      <c r="BC52" s="126" cm="1">
        <f t="array" ref="BC52">SUMPRODUCT(($S$7:$S$78=AE52&amp;"_draw")*($X$7:$X$78))+SUMPRODUCT(($T$7:$T$78=AE52&amp;"_draw")*($X$7:$X$78))</f>
        <v>1</v>
      </c>
      <c r="BD52" s="126" cm="1">
        <f t="array" ref="BD52">SUMPRODUCT(($E$7:$E$78=AE52)*($X$7:$X$78)*($F$7:$F$78))+SUMPRODUCT(($H$7:$H$78=AE52)*($X$7:$X$78)*($G$7:$G$78))</f>
        <v>1</v>
      </c>
      <c r="BE52" s="126" cm="1">
        <f t="array" ref="BE52">SUMPRODUCT(($E$7:$E$78=AE52)*($X$7:$X$78)*($G$7:$G$78))+SUMPRODUCT(($H$7:$H$78=AE52)*($X$7:$X$78)*($F$7:$F$78))</f>
        <v>1</v>
      </c>
      <c r="BF52" s="126">
        <f>BD52-BE52</f>
        <v>0</v>
      </c>
      <c r="BG52" s="126">
        <f>BF52-MIN(BF50:BF53)</f>
        <v>0</v>
      </c>
      <c r="BH52" s="126">
        <f>BB52/BB54*1000+BC52/BC54*100+BG52/BG54*10+BD52/BD54</f>
        <v>50.5</v>
      </c>
      <c r="BI52" s="126">
        <f>BH52/BH54</f>
        <v>0.98058252427184467</v>
      </c>
      <c r="BK52" s="21"/>
      <c r="BL52" s="21"/>
      <c r="BM52" s="21"/>
      <c r="BN52" s="21"/>
      <c r="BO52" s="21"/>
      <c r="BP52" s="114"/>
      <c r="BQ52" s="112"/>
      <c r="BR52" s="131">
        <v>92</v>
      </c>
      <c r="BS52" s="24" t="str">
        <f>IF(BP50&gt;BP51,BL50,IF(BP50&lt;BP51,BL51,""))</f>
        <v>Mexico</v>
      </c>
      <c r="BT52" s="61">
        <v>2</v>
      </c>
      <c r="BU52" s="63"/>
      <c r="BV52" s="25"/>
      <c r="BW52" s="116">
        <f>IF(OR(BT52="",BT53="",AND(BU52="",BU53&lt;&gt;""),AND(BU53="",BU52&lt;&gt;""),AND(BV52="",BV53&lt;&gt;""),AND(BV53="",BV52&lt;&gt;"")),"",BT52*1000+BU52*10+BV52)</f>
        <v>2000</v>
      </c>
      <c r="BX52" s="112"/>
      <c r="BY52" s="21"/>
      <c r="BZ52" s="21"/>
      <c r="CA52" s="21"/>
      <c r="CB52" s="21"/>
      <c r="CC52" s="21"/>
      <c r="CD52" s="114"/>
      <c r="CK52" s="114"/>
      <c r="CL52" s="112"/>
    </row>
    <row r="53" spans="1:96" x14ac:dyDescent="0.25">
      <c r="A53" s="16">
        <v>47</v>
      </c>
      <c r="B53" s="17" t="str" cm="1">
        <f t="array" ref="B53">INDEX(T,18+INT(MOD(R53-1,7)),lang)</f>
        <v>Tue</v>
      </c>
      <c r="C53" s="18" t="str" cm="1">
        <f t="array" ref="C53">INDEX(T,24+MONTH(R53),lang) &amp; " " &amp; DAY(R53) &amp; ", " &amp; YEAR(R53)</f>
        <v>Jun 23, 2026</v>
      </c>
      <c r="D53" s="120">
        <f t="shared" si="7"/>
        <v>0.75</v>
      </c>
      <c r="E53" s="78" t="str">
        <f>AE68</f>
        <v>Portugal</v>
      </c>
      <c r="F53" s="19">
        <v>5</v>
      </c>
      <c r="G53" s="20">
        <v>0</v>
      </c>
      <c r="H53" s="80" t="str">
        <f>AE70</f>
        <v>Uzbekistan</v>
      </c>
      <c r="J53" s="33" t="str">
        <f>VLOOKUP(3,AD50:AN53,2,FALSE)</f>
        <v>Uruguay</v>
      </c>
      <c r="K53" s="23">
        <f>L53+M53+N53</f>
        <v>3</v>
      </c>
      <c r="L53" s="23">
        <f>VLOOKUP(3,AD50:AN53,3,FALSE)</f>
        <v>0</v>
      </c>
      <c r="M53" s="23">
        <f>VLOOKUP(3,AD50:AN53,4,FALSE)</f>
        <v>2</v>
      </c>
      <c r="N53" s="23">
        <f>VLOOKUP(3,AD50:AN53,5,FALSE)</f>
        <v>1</v>
      </c>
      <c r="O53" s="23" t="str">
        <f>VLOOKUP(3,AD50:AN53,6,FALSE) &amp; " - " &amp; VLOOKUP(3,AD50:AN53,7,FALSE)</f>
        <v>3 - 4</v>
      </c>
      <c r="P53" s="34">
        <f>L53*3+M53</f>
        <v>2</v>
      </c>
      <c r="R53" s="123">
        <f>DATE(2026,6,23)+TIME(6,0,0)+gmt_delta</f>
        <v>46196.75</v>
      </c>
      <c r="S53" s="127" t="str">
        <f t="shared" si="19"/>
        <v>Portugal_win</v>
      </c>
      <c r="T53" s="127" t="str">
        <f t="shared" si="20"/>
        <v>Uzbekistan_lose</v>
      </c>
      <c r="U53" s="123">
        <f t="shared" si="8"/>
        <v>0</v>
      </c>
      <c r="V53" s="123">
        <f t="shared" si="21"/>
        <v>0</v>
      </c>
      <c r="W53" s="123">
        <f t="shared" si="22"/>
        <v>0</v>
      </c>
      <c r="X53" s="123">
        <f t="shared" si="9"/>
        <v>0</v>
      </c>
      <c r="Y53" s="123">
        <f t="shared" si="10"/>
        <v>0</v>
      </c>
      <c r="Z53" s="123">
        <f t="shared" si="11"/>
        <v>0</v>
      </c>
      <c r="AA53" s="123">
        <f t="shared" si="17"/>
        <v>0</v>
      </c>
      <c r="AB53" s="123">
        <f t="shared" si="23"/>
        <v>1</v>
      </c>
      <c r="AD53" s="123">
        <f>COUNTIF(AR50:AR53,CONCATENATE("&gt;=",AR53))</f>
        <v>3</v>
      </c>
      <c r="AE53" s="124" t="str">
        <f>VLOOKUP("Uruguay",T,lang,FALSE)</f>
        <v>Uruguay</v>
      </c>
      <c r="AF53" s="123">
        <f>COUNTIF($S$7:$T$78,"=" &amp; AE53 &amp; "_win")</f>
        <v>0</v>
      </c>
      <c r="AG53" s="123">
        <f>COUNTIF($S$7:$T$78,"=" &amp; AE53 &amp; "_draw")</f>
        <v>2</v>
      </c>
      <c r="AH53" s="123">
        <f>COUNTIF($S$7:$T$78,"=" &amp; AE53 &amp; "_lose")</f>
        <v>1</v>
      </c>
      <c r="AI53" s="123">
        <f>SUMIF($E$7:$E$78,$AE53,$F$7:$F$78) + SUMIF($H$7:$H$78,$AE53,$G$7:$G$78)</f>
        <v>3</v>
      </c>
      <c r="AJ53" s="123">
        <f>SUMIF($E$7:$E$78,$AE53,$G$7:$G$78) + SUMIF($H$7:$H$78,$AE53,$F$7:$F$78)</f>
        <v>4</v>
      </c>
      <c r="AL53" s="123">
        <f>AI53-AJ53</f>
        <v>-1</v>
      </c>
      <c r="AM53" s="123">
        <f>AL53-AL54</f>
        <v>3</v>
      </c>
      <c r="AN53" s="123">
        <f>AF53*3+AG53</f>
        <v>2</v>
      </c>
      <c r="AO53" s="123">
        <f>AN53/AN54*10+BA53</f>
        <v>3.4805825242718447</v>
      </c>
      <c r="AP53" s="123">
        <f>AO53*10000000+BI53*100+AM53/AM54*10+AI53/AI54*1++IF(AQ53=0,ROW(),AQ53)/2000000</f>
        <v>34805926.801807404</v>
      </c>
      <c r="AQ53" s="126">
        <f>VLOOKUP(AE53,db_fifarank,2,FALSE)</f>
        <v>1673.07</v>
      </c>
      <c r="AR53" s="125">
        <f>AP53/AP54</f>
        <v>0.39778197133862303</v>
      </c>
      <c r="AT53" s="126" cm="1">
        <f t="array" ref="AT53">SUMPRODUCT(($S$7:$S$78=AE53&amp;"_win")*($U$7:$U$78))+SUMPRODUCT(($T$7:$T$78=AE53&amp;"_win")*($U$7:$U$78))</f>
        <v>0</v>
      </c>
      <c r="AU53" s="126" cm="1">
        <f t="array" ref="AU53">SUMPRODUCT(($S$7:$S$78=AE53&amp;"_draw")*($U$7:$U$78))+SUMPRODUCT(($T$7:$T$78=AE53&amp;"_draw")*($U$7:$U$78))</f>
        <v>1</v>
      </c>
      <c r="AV53" s="126" cm="1">
        <f t="array" ref="AV53">SUMPRODUCT(($E$7:$E$78=AE53)*($U$7:$U$78)*($F$7:$F$78))+SUMPRODUCT(($H$7:$H$78=AE53)*($U$7:$U$78)*($G$7:$G$78))</f>
        <v>1</v>
      </c>
      <c r="AW53" s="126" cm="1">
        <f t="array" ref="AW53">SUMPRODUCT(($E$7:$E$78=AE53)*($U$7:$U$78)*($G$7:$G$78))+SUMPRODUCT(($H$7:$H$78=AE53)*($U$7:$U$78)*($F$7:$F$78))</f>
        <v>1</v>
      </c>
      <c r="AX53" s="126">
        <f>AV53-AW53</f>
        <v>0</v>
      </c>
      <c r="AY53" s="126">
        <f>AX53-MIN(AX50:AX53)</f>
        <v>0</v>
      </c>
      <c r="AZ53" s="126">
        <f>AT53/AT54*1000+AU53/AU54*100+AY53/AY54*10+AV53/AV54</f>
        <v>50.5</v>
      </c>
      <c r="BA53" s="126">
        <f>AZ53/AZ54</f>
        <v>0.98058252427184467</v>
      </c>
      <c r="BB53" s="126" cm="1">
        <f t="array" ref="BB53">SUMPRODUCT(($S$7:$S$78=AE53&amp;"_win")*($X$7:$X$78))+SUMPRODUCT(($T$7:$T$78=AE53&amp;"_win")*($X$7:$X$78))</f>
        <v>0</v>
      </c>
      <c r="BC53" s="126" cm="1">
        <f t="array" ref="BC53">SUMPRODUCT(($S$7:$S$78=AE53&amp;"_draw")*($X$7:$X$78))+SUMPRODUCT(($T$7:$T$78=AE53&amp;"_draw")*($X$7:$X$78))</f>
        <v>1</v>
      </c>
      <c r="BD53" s="126" cm="1">
        <f t="array" ref="BD53">SUMPRODUCT(($E$7:$E$78=AE53)*($X$7:$X$78)*($F$7:$F$78))+SUMPRODUCT(($H$7:$H$78=AE53)*($X$7:$X$78)*($G$7:$G$78))</f>
        <v>1</v>
      </c>
      <c r="BE53" s="126" cm="1">
        <f t="array" ref="BE53">SUMPRODUCT(($E$7:$E$78=AE53)*($X$7:$X$78)*($G$7:$G$78))+SUMPRODUCT(($H$7:$H$78=AE53)*($X$7:$X$78)*($F$7:$F$78))</f>
        <v>1</v>
      </c>
      <c r="BF53" s="126">
        <f>BD53-BE53</f>
        <v>0</v>
      </c>
      <c r="BG53" s="126">
        <f>BF53-MIN(BF50:BF53)</f>
        <v>0</v>
      </c>
      <c r="BH53" s="126">
        <f>BB53/BB54*1000+BC53/BC54*100+BG53/BG54*10+BD53/BD54</f>
        <v>50.5</v>
      </c>
      <c r="BI53" s="126">
        <f>BH53/BH54</f>
        <v>0.98058252427184467</v>
      </c>
      <c r="BK53" s="21" t="str" cm="1">
        <f t="array" ref="BK53">INDEX(T,24+MONTH(BP53),lang) &amp; " " &amp; DAY(BP53) &amp; ", " &amp; YEAR(BP53) &amp; "   " &amp; (IF(HOUR(BP53)&lt;10,0,"")&amp;HOUR(BP53)) &amp; ":" &amp;  (IF(MINUTE(BP53)&lt;10,0,"")&amp;MINUTE(BP53))</f>
        <v>Jul 1, 2026   17:00</v>
      </c>
      <c r="BL53" s="21"/>
      <c r="BM53" s="21"/>
      <c r="BN53" s="21"/>
      <c r="BO53" s="28"/>
      <c r="BP53" s="114">
        <f>DATE(2026,7,1)+TIME(5,0,0)+gmt_delta</f>
        <v>46204.708333333336</v>
      </c>
      <c r="BQ53" s="115"/>
      <c r="BR53" s="132"/>
      <c r="BS53" s="26" t="str">
        <f>IF(BP54&gt;BP55,BL54,IF(BP54&lt;BP55,BL55,""))</f>
        <v>England</v>
      </c>
      <c r="BT53" s="62">
        <v>3</v>
      </c>
      <c r="BU53" s="64"/>
      <c r="BV53" s="27"/>
      <c r="BW53" s="112">
        <f>IF(BW52="","",BT53*1000+BU53*10+BV53)</f>
        <v>3000</v>
      </c>
      <c r="BX53" s="112"/>
      <c r="BY53" s="21"/>
      <c r="BZ53" s="21"/>
      <c r="CA53" s="21"/>
      <c r="CB53" s="21"/>
      <c r="CC53" s="21"/>
      <c r="CD53" s="114"/>
      <c r="CK53" s="114"/>
      <c r="CL53" s="112"/>
    </row>
    <row r="54" spans="1:96" x14ac:dyDescent="0.25">
      <c r="A54" s="16">
        <v>48</v>
      </c>
      <c r="B54" s="17" t="str" cm="1">
        <f t="array" ref="B54">INDEX(T,18+INT(MOD(R54-1,7)),lang)</f>
        <v>Wed</v>
      </c>
      <c r="C54" s="18" t="str" cm="1">
        <f t="array" ref="C54">INDEX(T,24+MONTH(R54),lang) &amp; " " &amp; DAY(R54) &amp; ", " &amp; YEAR(R54)</f>
        <v>Jun 24, 2026</v>
      </c>
      <c r="D54" s="120">
        <f t="shared" si="7"/>
        <v>0.125</v>
      </c>
      <c r="E54" s="78" t="str">
        <f>AE71</f>
        <v>Colombia</v>
      </c>
      <c r="F54" s="19">
        <v>1</v>
      </c>
      <c r="G54" s="20">
        <v>0</v>
      </c>
      <c r="H54" s="80" t="str">
        <f>AE69</f>
        <v>DR Congo</v>
      </c>
      <c r="J54" s="35" t="str">
        <f>VLOOKUP(4,AD50:AN53,2,FALSE)</f>
        <v>Saudi Arabia</v>
      </c>
      <c r="K54" s="36">
        <f>L54+M54+N54</f>
        <v>3</v>
      </c>
      <c r="L54" s="36">
        <f>VLOOKUP(4,AD50:AN53,3,FALSE)</f>
        <v>0</v>
      </c>
      <c r="M54" s="36">
        <f>VLOOKUP(4,AD50:AN53,4,FALSE)</f>
        <v>2</v>
      </c>
      <c r="N54" s="36">
        <f>VLOOKUP(4,AD50:AN53,5,FALSE)</f>
        <v>1</v>
      </c>
      <c r="O54" s="36" t="str">
        <f>VLOOKUP(4,AD50:AN53,6,FALSE) &amp; " - " &amp; VLOOKUP(4,AD50:AN53,7,FALSE)</f>
        <v>1 - 5</v>
      </c>
      <c r="P54" s="37">
        <f>L54*3+M54</f>
        <v>2</v>
      </c>
      <c r="R54" s="123">
        <f>DATE(2026,6,23)+TIME(15,0,0)+gmt_delta</f>
        <v>46197.125</v>
      </c>
      <c r="S54" s="127" t="str">
        <f t="shared" si="19"/>
        <v>Colombia_win</v>
      </c>
      <c r="T54" s="127" t="str">
        <f t="shared" si="20"/>
        <v>DR Congo_lose</v>
      </c>
      <c r="U54" s="123">
        <f t="shared" si="8"/>
        <v>0</v>
      </c>
      <c r="V54" s="123">
        <f t="shared" si="21"/>
        <v>0</v>
      </c>
      <c r="W54" s="123">
        <f t="shared" si="22"/>
        <v>0</v>
      </c>
      <c r="X54" s="123">
        <f t="shared" si="9"/>
        <v>0</v>
      </c>
      <c r="Y54" s="123">
        <f t="shared" si="10"/>
        <v>0</v>
      </c>
      <c r="Z54" s="123">
        <f t="shared" si="11"/>
        <v>0</v>
      </c>
      <c r="AA54" s="123">
        <f t="shared" si="17"/>
        <v>0</v>
      </c>
      <c r="AB54" s="123">
        <f t="shared" si="23"/>
        <v>1</v>
      </c>
      <c r="AF54" s="123">
        <f t="shared" ref="AF54:AH54" si="25">MAX(AF50:AF53)-MIN(AF50:AF53)+1</f>
        <v>3</v>
      </c>
      <c r="AG54" s="123">
        <f t="shared" si="25"/>
        <v>3</v>
      </c>
      <c r="AH54" s="123">
        <f t="shared" si="25"/>
        <v>2</v>
      </c>
      <c r="AI54" s="123">
        <f>MAX(AI50:AI53)+1</f>
        <v>6</v>
      </c>
      <c r="AL54" s="123">
        <f>MIN(AL50:AL53)</f>
        <v>-4</v>
      </c>
      <c r="AM54" s="123">
        <f>MAX(AM50:AM53)+1</f>
        <v>10</v>
      </c>
      <c r="AN54" s="123">
        <f>MAX(AN50:AN53)+1</f>
        <v>8</v>
      </c>
      <c r="AO54" s="123">
        <f>MAX(AO50:AO53)+1</f>
        <v>9.75</v>
      </c>
      <c r="AP54" s="123">
        <f>MAX(AP50:AP53)+1</f>
        <v>87500010.834271535</v>
      </c>
      <c r="AT54" s="126">
        <f>MAX(AT50:AT53)-MIN(AT50:AT53)+1</f>
        <v>1</v>
      </c>
      <c r="AU54" s="126">
        <f>MAX(AU50:AU53)-MIN(AU50:AU53)+1</f>
        <v>2</v>
      </c>
      <c r="AV54" s="126">
        <f>MAX(AV50:AV53)-MIN(AV50:AV53)+1</f>
        <v>2</v>
      </c>
      <c r="AW54" s="126">
        <f>MAX(AW50:AW53)-MIN(AW50:AW53)+1</f>
        <v>2</v>
      </c>
      <c r="AY54" s="126">
        <f>MAX(AY50:AY53)-MIN(AY50:AY53)+1</f>
        <v>1</v>
      </c>
      <c r="AZ54" s="126">
        <f>MAX(AZ50:AZ53)+1</f>
        <v>51.5</v>
      </c>
      <c r="BB54" s="126">
        <f>MAX(BB50:BB53)-MIN(BB50:BB53)+1</f>
        <v>1</v>
      </c>
      <c r="BC54" s="126">
        <f>MAX(BC50:BC53)-MIN(BC50:BC53)+1</f>
        <v>2</v>
      </c>
      <c r="BD54" s="126">
        <f>MAX(BD50:BD53)-MIN(BD50:BD53)+1</f>
        <v>2</v>
      </c>
      <c r="BE54" s="126">
        <f>MAX(BE50:BE53)-MIN(BE50:BE53)+1</f>
        <v>2</v>
      </c>
      <c r="BG54" s="126">
        <f>MAX(BG50:BG53)-MIN(BG50:BG53)+1</f>
        <v>1</v>
      </c>
      <c r="BH54" s="126">
        <f>MAX(BH50:BH53)+1</f>
        <v>51.5</v>
      </c>
      <c r="BK54" s="131">
        <v>80</v>
      </c>
      <c r="BL54" s="24" t="str">
        <f>AS74</f>
        <v>England</v>
      </c>
      <c r="BM54" s="61">
        <v>2</v>
      </c>
      <c r="BN54" s="63"/>
      <c r="BO54" s="25"/>
      <c r="BP54" s="116">
        <f>IF(OR(BM54="",BM55="",AND(BN54="",BN55&lt;&gt;""),AND(BN55="",BN54&lt;&gt;""),AND(BO54="",BO55&lt;&gt;""),AND(BO55="",BO54&lt;&gt;"")),"",BM54*1000+BN54*10+BO54)</f>
        <v>2000</v>
      </c>
      <c r="BQ54" s="112"/>
      <c r="BR54" s="21"/>
      <c r="BS54" s="21"/>
      <c r="BT54" s="21"/>
      <c r="BU54" s="21"/>
      <c r="BV54" s="21"/>
      <c r="BW54" s="112"/>
      <c r="BX54" s="112"/>
      <c r="BY54" s="21"/>
      <c r="BZ54" s="21"/>
      <c r="CA54" s="21"/>
      <c r="CB54" s="21"/>
      <c r="CC54" s="21"/>
      <c r="CD54" s="114"/>
      <c r="CE54" s="112"/>
      <c r="CF54" s="21" t="str" cm="1">
        <f t="array" ref="CF54">INDEX(T,24+MONTH(CK54),lang) &amp; " " &amp; DAY(CK54) &amp; ", " &amp; YEAR(CK54) &amp; "   " &amp; (IF(HOUR(CK54)&lt;10,0,"")&amp;HOUR(CK54)) &amp; ":" &amp;  (IF(MINUTE(CK54)&lt;10,0,"")&amp;MINUTE(CK54))</f>
        <v>Jul 15, 2026   20:00</v>
      </c>
      <c r="CG54" s="21"/>
      <c r="CH54" s="21"/>
      <c r="CI54" s="21"/>
      <c r="CJ54" s="28"/>
      <c r="CK54" s="114">
        <f>DATE(2026,7,15)+TIME(8,0,0)+gmt_delta</f>
        <v>46218.833333333336</v>
      </c>
      <c r="CL54" s="112"/>
    </row>
    <row r="55" spans="1:96" x14ac:dyDescent="0.25">
      <c r="A55" s="16">
        <v>49</v>
      </c>
      <c r="B55" s="17" t="str" cm="1">
        <f t="array" ref="B55">INDEX(T,18+INT(MOD(R55-1,7)),lang)</f>
        <v>Wed</v>
      </c>
      <c r="C55" s="18" t="str" cm="1">
        <f t="array" ref="C55">INDEX(T,24+MONTH(R55),lang) &amp; " " &amp; DAY(R55) &amp; ", " &amp; YEAR(R55)</f>
        <v>Jun 24, 2026</v>
      </c>
      <c r="D55" s="120">
        <f t="shared" si="7"/>
        <v>0.95833333333333337</v>
      </c>
      <c r="E55" s="78" t="str">
        <f>AE23</f>
        <v>Scotland</v>
      </c>
      <c r="F55" s="19">
        <v>0</v>
      </c>
      <c r="G55" s="20">
        <v>3</v>
      </c>
      <c r="H55" s="80" t="str">
        <f>AE20</f>
        <v>Brazil</v>
      </c>
      <c r="I55" s="69"/>
      <c r="J55" s="72"/>
      <c r="K55" s="70"/>
      <c r="L55" s="70"/>
      <c r="M55" s="70"/>
      <c r="N55" s="70"/>
      <c r="O55" s="70"/>
      <c r="P55" s="70"/>
      <c r="R55" s="123">
        <f>DATE(2026,6,24)+TIME(11,0,0)+gmt_delta</f>
        <v>46197.958333333336</v>
      </c>
      <c r="S55" s="127" t="str">
        <f t="shared" si="19"/>
        <v>Scotland_lose</v>
      </c>
      <c r="T55" s="127" t="str">
        <f t="shared" si="20"/>
        <v>Brazil_win</v>
      </c>
      <c r="U55" s="123">
        <f t="shared" si="8"/>
        <v>0</v>
      </c>
      <c r="V55" s="123">
        <f t="shared" si="21"/>
        <v>0</v>
      </c>
      <c r="W55" s="123">
        <f t="shared" si="22"/>
        <v>0</v>
      </c>
      <c r="X55" s="123">
        <f t="shared" si="9"/>
        <v>0</v>
      </c>
      <c r="Y55" s="123">
        <f t="shared" si="10"/>
        <v>0</v>
      </c>
      <c r="Z55" s="123">
        <f t="shared" si="11"/>
        <v>0</v>
      </c>
      <c r="AA55" s="123">
        <f t="shared" si="17"/>
        <v>0</v>
      </c>
      <c r="AB55" s="123">
        <f t="shared" si="23"/>
        <v>-1</v>
      </c>
      <c r="BK55" s="132"/>
      <c r="BL55" s="26" t="str">
        <f>IF(group_round_completed,VLOOKUP('3rd places'!K3,AK80:AS91,9,FALSE),"3rd Group E/H/I/J/K")</f>
        <v>DR Congo</v>
      </c>
      <c r="BM55" s="62">
        <v>1</v>
      </c>
      <c r="BN55" s="64"/>
      <c r="BO55" s="27"/>
      <c r="BP55" s="112">
        <f>IF(BP54="","",BM55*1000+BN55*10+BO55)</f>
        <v>1000</v>
      </c>
      <c r="BQ55" s="112"/>
      <c r="BR55" s="21"/>
      <c r="BS55" s="21"/>
      <c r="BT55" s="21"/>
      <c r="BU55" s="21"/>
      <c r="BV55" s="21"/>
      <c r="BW55" s="112"/>
      <c r="BX55" s="112"/>
      <c r="BY55" s="21"/>
      <c r="BZ55" s="21"/>
      <c r="CA55" s="21"/>
      <c r="CB55" s="21"/>
      <c r="CC55" s="21"/>
      <c r="CD55" s="114"/>
      <c r="CE55" s="112"/>
      <c r="CF55" s="131">
        <v>102</v>
      </c>
      <c r="CG55" s="24" t="str">
        <f>IF(CD48&gt;CD49,BZ48,IF(CD48&lt;CD49,BZ49,""))</f>
        <v>England</v>
      </c>
      <c r="CH55" s="61">
        <v>1</v>
      </c>
      <c r="CI55" s="63"/>
      <c r="CJ55" s="25"/>
      <c r="CK55" s="116">
        <f>IF(OR(CH55="",CH56="",AND(CI55="",CI56&lt;&gt;""),AND(CI56="",CI55&lt;&gt;""),AND(CJ55="",CJ56&lt;&gt;""),AND(CJ56="",CJ55&lt;&gt;"")),"",CH55*1000+CI55*10+CJ55)</f>
        <v>1000</v>
      </c>
      <c r="CL55" s="112"/>
    </row>
    <row r="56" spans="1:96" x14ac:dyDescent="0.25">
      <c r="A56" s="16">
        <v>50</v>
      </c>
      <c r="B56" s="17" t="str" cm="1">
        <f t="array" ref="B56">INDEX(T,18+INT(MOD(R56-1,7)),lang)</f>
        <v>Wed</v>
      </c>
      <c r="C56" s="18" t="str" cm="1">
        <f t="array" ref="C56">INDEX(T,24+MONTH(R56),lang) &amp; " " &amp; DAY(R56) &amp; ", " &amp; YEAR(R56)</f>
        <v>Jun 24, 2026</v>
      </c>
      <c r="D56" s="120">
        <f t="shared" si="7"/>
        <v>0.95833333333333337</v>
      </c>
      <c r="E56" s="78" t="str">
        <f>AE21</f>
        <v>Morocco</v>
      </c>
      <c r="F56" s="19">
        <v>4</v>
      </c>
      <c r="G56" s="20">
        <v>2</v>
      </c>
      <c r="H56" s="80" t="str">
        <f>AE22</f>
        <v>Haiti</v>
      </c>
      <c r="I56" s="69"/>
      <c r="J56" s="38" t="str" cm="1">
        <f t="array" ref="J56">INDEX(T,9,lang) &amp; " " &amp; "I"</f>
        <v>Group I</v>
      </c>
      <c r="K56" s="94" t="str" cm="1">
        <f t="array" ref="K56">INDEX(T,10,lang)</f>
        <v>PL</v>
      </c>
      <c r="L56" s="94" t="str" cm="1">
        <f t="array" ref="L56">INDEX(T,11,lang)</f>
        <v>W</v>
      </c>
      <c r="M56" s="94" t="str" cm="1">
        <f t="array" ref="M56">INDEX(T,12,lang)</f>
        <v>DRAW</v>
      </c>
      <c r="N56" s="94" t="str" cm="1">
        <f t="array" ref="N56">INDEX(T,13,lang)</f>
        <v>L</v>
      </c>
      <c r="O56" s="94" t="str" cm="1">
        <f t="array" ref="O56">INDEX(T,14,lang)</f>
        <v>GF - GA</v>
      </c>
      <c r="P56" s="95" t="str" cm="1">
        <f t="array" ref="P56">INDEX(T,15,lang)</f>
        <v>PNT</v>
      </c>
      <c r="R56" s="123">
        <f>DATE(2026,6,24)+TIME(11,0,0)+gmt_delta</f>
        <v>46197.958333333336</v>
      </c>
      <c r="S56" s="127" t="str">
        <f t="shared" si="19"/>
        <v>Morocco_win</v>
      </c>
      <c r="T56" s="127" t="str">
        <f t="shared" si="20"/>
        <v>Haiti_lose</v>
      </c>
      <c r="U56" s="123">
        <f t="shared" si="8"/>
        <v>0</v>
      </c>
      <c r="V56" s="123">
        <f t="shared" si="21"/>
        <v>0</v>
      </c>
      <c r="W56" s="123">
        <f t="shared" si="22"/>
        <v>0</v>
      </c>
      <c r="X56" s="123">
        <f t="shared" si="9"/>
        <v>0</v>
      </c>
      <c r="Y56" s="123">
        <f t="shared" si="10"/>
        <v>0</v>
      </c>
      <c r="Z56" s="123">
        <f t="shared" si="11"/>
        <v>0</v>
      </c>
      <c r="AA56" s="123">
        <f t="shared" si="17"/>
        <v>0</v>
      </c>
      <c r="AB56" s="123">
        <f t="shared" si="23"/>
        <v>1</v>
      </c>
      <c r="AD56" s="123">
        <f>COUNTIF(AR56:AR59,CONCATENATE("&gt;=",AR56))</f>
        <v>1</v>
      </c>
      <c r="AE56" s="124" t="str">
        <f>VLOOKUP("France",T,lang,FALSE)</f>
        <v>France</v>
      </c>
      <c r="AF56" s="123">
        <f>COUNTIF($S$7:$T$78,"=" &amp; AE56 &amp; "_win")</f>
        <v>3</v>
      </c>
      <c r="AG56" s="123">
        <f>COUNTIF($S$7:$T$78,"=" &amp; AE56 &amp; "_draw")</f>
        <v>0</v>
      </c>
      <c r="AH56" s="123">
        <f>COUNTIF($S$7:$T$78,"=" &amp; AE56 &amp; "_lose")</f>
        <v>0</v>
      </c>
      <c r="AI56" s="123">
        <f>SUMIF($E$7:$E$78,$AE56,$F$7:$F$78) + SUMIF($H$7:$H$78,$AE56,$G$7:$G$78)</f>
        <v>10</v>
      </c>
      <c r="AJ56" s="123">
        <f>SUMIF($E$7:$E$78,$AE56,$G$7:$G$78) + SUMIF($H$7:$H$78,$AE56,$F$7:$F$78)</f>
        <v>2</v>
      </c>
      <c r="AL56" s="123">
        <f>AI56-AJ56</f>
        <v>8</v>
      </c>
      <c r="AM56" s="123">
        <f>AL56-AL60</f>
        <v>19</v>
      </c>
      <c r="AN56" s="123">
        <f>AF56*3+AG56</f>
        <v>9</v>
      </c>
      <c r="AO56" s="123">
        <f>AN56/AN60*10+BA56</f>
        <v>9</v>
      </c>
      <c r="AP56" s="123">
        <f>AO56*10000000+BI56*100+AM56/AM60*10+AI56/AI60*1++IF(AQ56=0,ROW(),AQ56)/2000000</f>
        <v>90000010.41002956</v>
      </c>
      <c r="AQ56" s="126">
        <f>VLOOKUP(AE56,db_fifarank,2,FALSE)</f>
        <v>1877.32</v>
      </c>
      <c r="AR56" s="125">
        <f>AP56/AP60</f>
        <v>0.9999999888888903</v>
      </c>
      <c r="AS56" s="125" t="str">
        <f>IF(SUM(AF56:AH59)=12,J57,"1I")</f>
        <v>France</v>
      </c>
      <c r="AT56" s="126" cm="1">
        <f t="array" ref="AT56">SUMPRODUCT(($S$7:$S$78=AE56&amp;"_win")*($U$7:$U$78))+SUMPRODUCT(($T$7:$T$78=AE56&amp;"_win")*($U$7:$U$78))</f>
        <v>0</v>
      </c>
      <c r="AU56" s="126" cm="1">
        <f t="array" ref="AU56">SUMPRODUCT(($S$7:$S$78=AE56&amp;"_draw")*($U$7:$U$78))+SUMPRODUCT(($T$7:$T$78=AE56&amp;"_draw")*($U$7:$U$78))</f>
        <v>0</v>
      </c>
      <c r="AV56" s="126" cm="1">
        <f t="array" ref="AV56">SUMPRODUCT(($E$7:$E$78=AE56)*($U$7:$U$78)*($F$7:$F$78))+SUMPRODUCT(($H$7:$H$78=AE56)*($U$7:$U$78)*($G$7:$G$78))</f>
        <v>0</v>
      </c>
      <c r="AW56" s="126" cm="1">
        <f t="array" ref="AW56">SUMPRODUCT(($E$7:$E$78=AE56)*($U$7:$U$78)*($G$7:$G$78))+SUMPRODUCT(($H$7:$H$78=AE56)*($U$7:$U$78)*($F$7:$F$78))</f>
        <v>0</v>
      </c>
      <c r="AX56" s="126">
        <f>AV56-AW56</f>
        <v>0</v>
      </c>
      <c r="AY56" s="126">
        <f>AX56-MIN(AX56:AX59)</f>
        <v>0</v>
      </c>
      <c r="AZ56" s="126">
        <f>AT56/AT60*1000+AU56/AU60*100+AY56/AY60*10+AV56/AV60</f>
        <v>0</v>
      </c>
      <c r="BA56" s="126">
        <f>AZ56/AZ60</f>
        <v>0</v>
      </c>
      <c r="BB56" s="126" cm="1">
        <f t="array" ref="BB56">SUMPRODUCT(($S$7:$S$78=AE56&amp;"_win")*($X$7:$X$78))+SUMPRODUCT(($T$7:$T$78=AE56&amp;"_win")*($X$7:$X$78))</f>
        <v>0</v>
      </c>
      <c r="BC56" s="126" cm="1">
        <f t="array" ref="BC56">SUMPRODUCT(($S$7:$S$78=AE56&amp;"_draw")*($X$7:$X$78))+SUMPRODUCT(($T$7:$T$78=AE56&amp;"_draw")*($X$7:$X$78))</f>
        <v>0</v>
      </c>
      <c r="BD56" s="126" cm="1">
        <f t="array" ref="BD56">SUMPRODUCT(($E$7:$E$78=AE56)*($X$7:$X$78)*($F$7:$F$78))+SUMPRODUCT(($H$7:$H$78=AE56)*($X$7:$X$78)*($G$7:$G$78))</f>
        <v>0</v>
      </c>
      <c r="BE56" s="126" cm="1">
        <f t="array" ref="BE56">SUMPRODUCT(($E$7:$E$78=AE56)*($X$7:$X$78)*($G$7:$G$78))+SUMPRODUCT(($H$7:$H$78=AE56)*($X$7:$X$78)*($F$7:$F$78))</f>
        <v>0</v>
      </c>
      <c r="BF56" s="126">
        <f>BD56-BE56</f>
        <v>0</v>
      </c>
      <c r="BG56" s="126">
        <f>BF56-MIN(BF56:BF59)</f>
        <v>0</v>
      </c>
      <c r="BH56" s="126">
        <f>IF(SUM(BB56:BF56)=0,0,BB56/$BB$60*1000+BC56/$BC$60*100+BG56/$BG$60*10+BD56/$BD$60)</f>
        <v>0</v>
      </c>
      <c r="BI56" s="126">
        <f>BH56/BH60</f>
        <v>0</v>
      </c>
      <c r="BL56" s="21"/>
      <c r="BM56" s="21"/>
      <c r="BN56" s="21"/>
      <c r="BO56" s="21"/>
      <c r="BP56" s="112"/>
      <c r="BQ56" s="112"/>
      <c r="BR56" s="21"/>
      <c r="BS56" s="21"/>
      <c r="BT56" s="21"/>
      <c r="BU56" s="21"/>
      <c r="BV56" s="21"/>
      <c r="BW56" s="112"/>
      <c r="BX56" s="112"/>
      <c r="BY56" s="21"/>
      <c r="BZ56" s="21"/>
      <c r="CA56" s="21"/>
      <c r="CB56" s="21"/>
      <c r="CC56" s="21"/>
      <c r="CD56" s="114"/>
      <c r="CE56" s="115"/>
      <c r="CF56" s="132"/>
      <c r="CG56" s="26" t="str">
        <f>IF(CD64&gt;CD65,BZ64,IF(CD64&lt;CD65,BZ65,""))</f>
        <v>Argentina</v>
      </c>
      <c r="CH56" s="62">
        <v>2</v>
      </c>
      <c r="CI56" s="64"/>
      <c r="CJ56" s="27"/>
      <c r="CK56" s="112">
        <f>IF(CK55="","",CH56*1000+CI56*10+CJ56)</f>
        <v>2000</v>
      </c>
      <c r="CL56" s="112"/>
    </row>
    <row r="57" spans="1:96" x14ac:dyDescent="0.25">
      <c r="A57" s="16">
        <v>51</v>
      </c>
      <c r="B57" s="17" t="str" cm="1">
        <f t="array" ref="B57">INDEX(T,18+INT(MOD(R57-1,7)),lang)</f>
        <v>Wed</v>
      </c>
      <c r="C57" s="18" t="str" cm="1">
        <f t="array" ref="C57">INDEX(T,24+MONTH(R57),lang) &amp; " " &amp; DAY(R57) &amp; ", " &amp; YEAR(R57)</f>
        <v>Jun 24, 2026</v>
      </c>
      <c r="D57" s="120">
        <f t="shared" si="7"/>
        <v>0.83333333333333337</v>
      </c>
      <c r="E57" s="78" t="str">
        <f>AE17</f>
        <v>Switzerland</v>
      </c>
      <c r="F57" s="19">
        <v>2</v>
      </c>
      <c r="G57" s="20">
        <v>1</v>
      </c>
      <c r="H57" s="80" t="str">
        <f>AE14</f>
        <v>Canada</v>
      </c>
      <c r="I57" s="69"/>
      <c r="J57" s="30" t="str">
        <f>VLOOKUP(1,AD56:AN59,2,FALSE)</f>
        <v>France</v>
      </c>
      <c r="K57" s="31">
        <f>L57+M57+N57</f>
        <v>3</v>
      </c>
      <c r="L57" s="31">
        <f>VLOOKUP(1,AD56:AN59,3,FALSE)</f>
        <v>3</v>
      </c>
      <c r="M57" s="31">
        <f>VLOOKUP(1,AD56:AN59,4,FALSE)</f>
        <v>0</v>
      </c>
      <c r="N57" s="31">
        <f>VLOOKUP(1,AD56:AN59,5,FALSE)</f>
        <v>0</v>
      </c>
      <c r="O57" s="31" t="str">
        <f>VLOOKUP(1,AD56:AN59,6,FALSE) &amp; " - " &amp; VLOOKUP(1,AD56:AN59,7,FALSE)</f>
        <v>10 - 2</v>
      </c>
      <c r="P57" s="32">
        <f>L57*3+M57</f>
        <v>9</v>
      </c>
      <c r="R57" s="123">
        <f>DATE(2026,6,24)+TIME(8,0,0)+gmt_delta</f>
        <v>46197.833333333336</v>
      </c>
      <c r="S57" s="127" t="str">
        <f t="shared" si="19"/>
        <v>Switzerland_win</v>
      </c>
      <c r="T57" s="127" t="str">
        <f t="shared" si="20"/>
        <v>Canada_lose</v>
      </c>
      <c r="U57" s="123">
        <f t="shared" si="8"/>
        <v>0</v>
      </c>
      <c r="V57" s="123">
        <f t="shared" si="21"/>
        <v>0</v>
      </c>
      <c r="W57" s="123">
        <f t="shared" si="22"/>
        <v>0</v>
      </c>
      <c r="X57" s="123">
        <f t="shared" si="9"/>
        <v>0</v>
      </c>
      <c r="Y57" s="123">
        <f t="shared" si="10"/>
        <v>0</v>
      </c>
      <c r="Z57" s="123">
        <f t="shared" si="11"/>
        <v>0</v>
      </c>
      <c r="AA57" s="123">
        <f t="shared" si="17"/>
        <v>0</v>
      </c>
      <c r="AB57" s="123">
        <f t="shared" si="23"/>
        <v>1</v>
      </c>
      <c r="AD57" s="123">
        <f>COUNTIF(AR56:AR59,CONCATENATE("&gt;=",AR57))</f>
        <v>3</v>
      </c>
      <c r="AE57" s="124" t="str">
        <f>VLOOKUP("Senegal",T,lang,FALSE)</f>
        <v>Senegal</v>
      </c>
      <c r="AF57" s="123">
        <f>COUNTIF($S$7:$T$78,"=" &amp; AE57 &amp; "_win")</f>
        <v>1</v>
      </c>
      <c r="AG57" s="123">
        <f>COUNTIF($S$7:$T$78,"=" &amp; AE57 &amp; "_draw")</f>
        <v>0</v>
      </c>
      <c r="AH57" s="123">
        <f>COUNTIF($S$7:$T$78,"=" &amp; AE57 &amp; "_lose")</f>
        <v>2</v>
      </c>
      <c r="AI57" s="123">
        <f>SUMIF($E$7:$E$78,$AE57,$F$7:$F$78) + SUMIF($H$7:$H$78,$AE57,$G$7:$G$78)</f>
        <v>8</v>
      </c>
      <c r="AJ57" s="123">
        <f>SUMIF($E$7:$E$78,$AE57,$G$7:$G$78) + SUMIF($H$7:$H$78,$AE57,$F$7:$F$78)</f>
        <v>6</v>
      </c>
      <c r="AL57" s="123">
        <f>AI57-AJ57</f>
        <v>2</v>
      </c>
      <c r="AM57" s="123">
        <f>AL57-AL60</f>
        <v>13</v>
      </c>
      <c r="AN57" s="123">
        <f>AF57*3+AG57</f>
        <v>3</v>
      </c>
      <c r="AO57" s="123">
        <f>AN57/AN60*10+BA57</f>
        <v>3</v>
      </c>
      <c r="AP57" s="123">
        <f>AO57*10000000+BI57*100+AM57/AM60*10+AI57/AI60*1++IF(AQ57=0,ROW(),AQ57)/2000000</f>
        <v>30000007.22811722</v>
      </c>
      <c r="AQ57" s="126">
        <f>VLOOKUP(AE57,db_fifarank,2,FALSE)</f>
        <v>1688.99</v>
      </c>
      <c r="AR57" s="125">
        <f>AP57/AP60</f>
        <v>0.33333337138637331</v>
      </c>
      <c r="AS57" s="125" t="str">
        <f>IF(SUM(AF56:AH59)=12,J58,"2I")</f>
        <v>Norway</v>
      </c>
      <c r="AT57" s="126" cm="1">
        <f t="array" ref="AT57">SUMPRODUCT(($S$7:$S$78=AE57&amp;"_win")*($U$7:$U$78))+SUMPRODUCT(($T$7:$T$78=AE57&amp;"_win")*($U$7:$U$78))</f>
        <v>0</v>
      </c>
      <c r="AU57" s="126" cm="1">
        <f t="array" ref="AU57">SUMPRODUCT(($S$7:$S$78=AE57&amp;"_draw")*($U$7:$U$78))+SUMPRODUCT(($T$7:$T$78=AE57&amp;"_draw")*($U$7:$U$78))</f>
        <v>0</v>
      </c>
      <c r="AV57" s="126" cm="1">
        <f t="array" ref="AV57">SUMPRODUCT(($E$7:$E$78=AE57)*($U$7:$U$78)*($F$7:$F$78))+SUMPRODUCT(($H$7:$H$78=AE57)*($U$7:$U$78)*($G$7:$G$78))</f>
        <v>0</v>
      </c>
      <c r="AW57" s="126" cm="1">
        <f t="array" ref="AW57">SUMPRODUCT(($E$7:$E$78=AE57)*($U$7:$U$78)*($G$7:$G$78))+SUMPRODUCT(($H$7:$H$78=AE57)*($U$7:$U$78)*($F$7:$F$78))</f>
        <v>0</v>
      </c>
      <c r="AX57" s="126">
        <f>AV57-AW57</f>
        <v>0</v>
      </c>
      <c r="AY57" s="126">
        <f>AX57-MIN(AX56:AX59)</f>
        <v>0</v>
      </c>
      <c r="AZ57" s="126">
        <f>AT57/AT60*1000+AU57/AU60*100+AY57/AY60*10+AV57/AV60</f>
        <v>0</v>
      </c>
      <c r="BA57" s="126">
        <f>AZ57/AZ60</f>
        <v>0</v>
      </c>
      <c r="BB57" s="126" cm="1">
        <f t="array" ref="BB57">SUMPRODUCT(($S$7:$S$78=AE57&amp;"_win")*($X$7:$X$78))+SUMPRODUCT(($T$7:$T$78=AE57&amp;"_win")*($X$7:$X$78))</f>
        <v>0</v>
      </c>
      <c r="BC57" s="126" cm="1">
        <f t="array" ref="BC57">SUMPRODUCT(($S$7:$S$78=AE57&amp;"_draw")*($X$7:$X$78))+SUMPRODUCT(($T$7:$T$78=AE57&amp;"_draw")*($X$7:$X$78))</f>
        <v>0</v>
      </c>
      <c r="BD57" s="126" cm="1">
        <f t="array" ref="BD57">SUMPRODUCT(($E$7:$E$78=AE57)*($X$7:$X$78)*($F$7:$F$78))+SUMPRODUCT(($H$7:$H$78=AE57)*($X$7:$X$78)*($G$7:$G$78))</f>
        <v>0</v>
      </c>
      <c r="BE57" s="126" cm="1">
        <f t="array" ref="BE57">SUMPRODUCT(($E$7:$E$78=AE57)*($X$7:$X$78)*($G$7:$G$78))+SUMPRODUCT(($H$7:$H$78=AE57)*($X$7:$X$78)*($F$7:$F$78))</f>
        <v>0</v>
      </c>
      <c r="BF57" s="126">
        <f>BD57-BE57</f>
        <v>0</v>
      </c>
      <c r="BG57" s="126">
        <f>BF57-MIN(BF56:BF59)</f>
        <v>0</v>
      </c>
      <c r="BH57" s="126">
        <f t="shared" ref="BH57:BH59" si="26">IF(SUM(BB57:BF57)=0,0,BB57/$BB$60*1000+BC57/$BC$60*100+BG57/$BG$60*10+BD57/$BD$60)</f>
        <v>0</v>
      </c>
      <c r="BI57" s="126">
        <f>BH57/BH60</f>
        <v>0</v>
      </c>
      <c r="BK57" s="21" t="str" cm="1">
        <f t="array" ref="BK57">INDEX(T,24+MONTH(BP57),lang) &amp; " " &amp; DAY(BP57) &amp; ", " &amp; YEAR(BP57) &amp; "   " &amp; (IF(HOUR(BP57)&lt;10,0,"")&amp;HOUR(BP57)) &amp; ":" &amp;  (IF(MINUTE(BP57)&lt;10,0,"")&amp;MINUTE(BP57))</f>
        <v>Jul 3, 2026   23:00</v>
      </c>
      <c r="BL57" s="21"/>
      <c r="BM57" s="21"/>
      <c r="BN57" s="21"/>
      <c r="BO57" s="29"/>
      <c r="BP57" s="112">
        <f>DATE(2026,7,3)+TIME(11,0,0)+gmt_delta</f>
        <v>46206.958333333336</v>
      </c>
      <c r="BQ57" s="112"/>
      <c r="BR57" s="21"/>
      <c r="BS57" s="21"/>
      <c r="BT57" s="21"/>
      <c r="BU57" s="21"/>
      <c r="BV57" s="21"/>
      <c r="BW57" s="112"/>
      <c r="BX57" s="112"/>
      <c r="BY57" s="21"/>
      <c r="BZ57" s="21"/>
      <c r="CA57" s="21"/>
      <c r="CB57" s="21"/>
      <c r="CC57" s="21"/>
      <c r="CD57" s="114"/>
    </row>
    <row r="58" spans="1:96" x14ac:dyDescent="0.25">
      <c r="A58" s="16">
        <v>52</v>
      </c>
      <c r="B58" s="17" t="str" cm="1">
        <f t="array" ref="B58">INDEX(T,18+INT(MOD(R58-1,7)),lang)</f>
        <v>Wed</v>
      </c>
      <c r="C58" s="18" t="str" cm="1">
        <f t="array" ref="C58">INDEX(T,24+MONTH(R58),lang) &amp; " " &amp; DAY(R58) &amp; ", " &amp; YEAR(R58)</f>
        <v>Jun 24, 2026</v>
      </c>
      <c r="D58" s="120">
        <f t="shared" si="7"/>
        <v>0.83333333333333337</v>
      </c>
      <c r="E58" s="78" t="str">
        <f>AE15</f>
        <v>Bosnia and Herzegovina</v>
      </c>
      <c r="F58" s="19">
        <v>3</v>
      </c>
      <c r="G58" s="20">
        <v>1</v>
      </c>
      <c r="H58" s="80" t="str">
        <f>AE16</f>
        <v>Qatar</v>
      </c>
      <c r="I58" s="69"/>
      <c r="J58" s="33" t="str">
        <f>VLOOKUP(2,AD56:AN59,2,FALSE)</f>
        <v>Norway</v>
      </c>
      <c r="K58" s="23">
        <f>L58+M58+N58</f>
        <v>3</v>
      </c>
      <c r="L58" s="23">
        <f>VLOOKUP(2,AD56:AN59,3,FALSE)</f>
        <v>2</v>
      </c>
      <c r="M58" s="23">
        <f>VLOOKUP(2,AD56:AN59,4,FALSE)</f>
        <v>0</v>
      </c>
      <c r="N58" s="23">
        <f>VLOOKUP(2,AD56:AN59,5,FALSE)</f>
        <v>1</v>
      </c>
      <c r="O58" s="23" t="str">
        <f>VLOOKUP(2,AD56:AN59,6,FALSE) &amp; " - " &amp; VLOOKUP(2,AD56:AN59,7,FALSE)</f>
        <v>8 - 7</v>
      </c>
      <c r="P58" s="34">
        <f>L58*3+M58</f>
        <v>6</v>
      </c>
      <c r="R58" s="123">
        <f>DATE(2026,6,24)+TIME(8,0,0)+gmt_delta</f>
        <v>46197.833333333336</v>
      </c>
      <c r="S58" s="127" t="str">
        <f t="shared" si="19"/>
        <v>Bosnia and Herzegovina_win</v>
      </c>
      <c r="T58" s="127" t="str">
        <f t="shared" si="20"/>
        <v>Qatar_lose</v>
      </c>
      <c r="U58" s="123">
        <f t="shared" si="8"/>
        <v>0</v>
      </c>
      <c r="V58" s="123">
        <f t="shared" si="21"/>
        <v>0</v>
      </c>
      <c r="W58" s="123">
        <f t="shared" si="22"/>
        <v>0</v>
      </c>
      <c r="X58" s="123">
        <f t="shared" si="9"/>
        <v>0</v>
      </c>
      <c r="Y58" s="123">
        <f t="shared" si="10"/>
        <v>0</v>
      </c>
      <c r="Z58" s="123">
        <f t="shared" si="11"/>
        <v>0</v>
      </c>
      <c r="AA58" s="123">
        <f t="shared" si="17"/>
        <v>0</v>
      </c>
      <c r="AB58" s="123">
        <f t="shared" si="23"/>
        <v>1</v>
      </c>
      <c r="AD58" s="123">
        <f>COUNTIF(AR56:AR59,CONCATENATE("&gt;=",AR58))</f>
        <v>4</v>
      </c>
      <c r="AE58" s="124" t="str">
        <f>VLOOKUP("Iraq",T,lang,FALSE)</f>
        <v>Iraq</v>
      </c>
      <c r="AF58" s="123">
        <f>COUNTIF($S$7:$T$78,"=" &amp; AE58 &amp; "_win")</f>
        <v>0</v>
      </c>
      <c r="AG58" s="123">
        <f>COUNTIF($S$7:$T$78,"=" &amp; AE58 &amp; "_draw")</f>
        <v>0</v>
      </c>
      <c r="AH58" s="123">
        <f>COUNTIF($S$7:$T$78,"=" &amp; AE58 &amp; "_lose")</f>
        <v>3</v>
      </c>
      <c r="AI58" s="123">
        <f>SUMIF($E$7:$E$78,$AE58,$F$7:$F$78) + SUMIF($H$7:$H$78,$AE58,$G$7:$G$78)</f>
        <v>1</v>
      </c>
      <c r="AJ58" s="123">
        <f>SUMIF($E$7:$E$78,$AE58,$G$7:$G$78) + SUMIF($H$7:$H$78,$AE58,$F$7:$F$78)</f>
        <v>12</v>
      </c>
      <c r="AL58" s="123">
        <f>AI58-AJ58</f>
        <v>-11</v>
      </c>
      <c r="AM58" s="123">
        <f>AL58-AL60</f>
        <v>0</v>
      </c>
      <c r="AN58" s="123">
        <f>AF58*3+AG58</f>
        <v>0</v>
      </c>
      <c r="AO58" s="123">
        <f>AN58/AN60*10+BA58</f>
        <v>0</v>
      </c>
      <c r="AP58" s="123">
        <f>AO58*10000000+BI58*100+AM58/AM60*10+AI58/AI60*1++IF(AQ58=0,ROW(),AQ58)/2000000</f>
        <v>9.1632660909090918E-2</v>
      </c>
      <c r="AQ58" s="126">
        <f>VLOOKUP(AE58,db_fifarank,2,FALSE)</f>
        <v>1447.14</v>
      </c>
      <c r="AR58" s="125">
        <f>AP58/AP60</f>
        <v>1.0181405476897463E-9</v>
      </c>
      <c r="AT58" s="126" cm="1">
        <f t="array" ref="AT58">SUMPRODUCT(($S$7:$S$78=AE58&amp;"_win")*($U$7:$U$78))+SUMPRODUCT(($T$7:$T$78=AE58&amp;"_win")*($U$7:$U$78))</f>
        <v>0</v>
      </c>
      <c r="AU58" s="126" cm="1">
        <f t="array" ref="AU58">SUMPRODUCT(($S$7:$S$78=AE58&amp;"_draw")*($U$7:$U$78))+SUMPRODUCT(($T$7:$T$78=AE58&amp;"_draw")*($U$7:$U$78))</f>
        <v>0</v>
      </c>
      <c r="AV58" s="126" cm="1">
        <f t="array" ref="AV58">SUMPRODUCT(($E$7:$E$78=AE58)*($U$7:$U$78)*($F$7:$F$78))+SUMPRODUCT(($H$7:$H$78=AE58)*($U$7:$U$78)*($G$7:$G$78))</f>
        <v>0</v>
      </c>
      <c r="AW58" s="126" cm="1">
        <f t="array" ref="AW58">SUMPRODUCT(($E$7:$E$78=AE58)*($U$7:$U$78)*($G$7:$G$78))+SUMPRODUCT(($H$7:$H$78=AE58)*($U$7:$U$78)*($F$7:$F$78))</f>
        <v>0</v>
      </c>
      <c r="AX58" s="126">
        <f>AV58-AW58</f>
        <v>0</v>
      </c>
      <c r="AY58" s="126">
        <f>AX58-MIN(AX56:AX59)</f>
        <v>0</v>
      </c>
      <c r="AZ58" s="126">
        <f>AT58/AT60*1000+AU58/AU60*100+AY58/AY60*10+AV58/AV60</f>
        <v>0</v>
      </c>
      <c r="BA58" s="126">
        <f>AZ58/AZ60</f>
        <v>0</v>
      </c>
      <c r="BB58" s="126" cm="1">
        <f t="array" ref="BB58">SUMPRODUCT(($S$7:$S$78=AE58&amp;"_win")*($X$7:$X$78))+SUMPRODUCT(($T$7:$T$78=AE58&amp;"_win")*($X$7:$X$78))</f>
        <v>0</v>
      </c>
      <c r="BC58" s="126" cm="1">
        <f t="array" ref="BC58">SUMPRODUCT(($S$7:$S$78=AE58&amp;"_draw")*($X$7:$X$78))+SUMPRODUCT(($T$7:$T$78=AE58&amp;"_draw")*($X$7:$X$78))</f>
        <v>0</v>
      </c>
      <c r="BD58" s="126" cm="1">
        <f t="array" ref="BD58">SUMPRODUCT(($E$7:$E$78=AE58)*($X$7:$X$78)*($F$7:$F$78))+SUMPRODUCT(($H$7:$H$78=AE58)*($X$7:$X$78)*($G$7:$G$78))</f>
        <v>0</v>
      </c>
      <c r="BE58" s="126" cm="1">
        <f t="array" ref="BE58">SUMPRODUCT(($E$7:$E$78=AE58)*($X$7:$X$78)*($G$7:$G$78))+SUMPRODUCT(($H$7:$H$78=AE58)*($X$7:$X$78)*($F$7:$F$78))</f>
        <v>0</v>
      </c>
      <c r="BF58" s="126">
        <f>BD58-BE58</f>
        <v>0</v>
      </c>
      <c r="BG58" s="126">
        <f>BF58-MIN(BF56:BF59)</f>
        <v>0</v>
      </c>
      <c r="BH58" s="126">
        <f t="shared" si="26"/>
        <v>0</v>
      </c>
      <c r="BI58" s="126">
        <f>BH58/BH60</f>
        <v>0</v>
      </c>
      <c r="BK58" s="131">
        <v>86</v>
      </c>
      <c r="BL58" s="24" t="str">
        <f>AS62</f>
        <v>Argentina</v>
      </c>
      <c r="BM58" s="61">
        <v>1</v>
      </c>
      <c r="BN58" s="63">
        <v>3</v>
      </c>
      <c r="BO58" s="25"/>
      <c r="BP58" s="112">
        <f>IF(OR(BM58="",BM59="",AND(BN58="",BN59&lt;&gt;""),AND(BN59="",BN58&lt;&gt;""),AND(BO58="",BO59&lt;&gt;""),AND(BO59="",BO58&lt;&gt;"")),"",BM58*1000+BN58*10+BO58)</f>
        <v>1030</v>
      </c>
      <c r="BQ58" s="112"/>
      <c r="BR58" s="21"/>
      <c r="BS58" s="21"/>
      <c r="BT58" s="21"/>
      <c r="BU58" s="21"/>
      <c r="BV58" s="21"/>
      <c r="BW58" s="112"/>
      <c r="BX58" s="112"/>
      <c r="BY58" s="21"/>
      <c r="BZ58" s="21"/>
      <c r="CA58" s="21"/>
      <c r="CB58" s="21"/>
      <c r="CC58" s="21"/>
      <c r="CD58" s="114"/>
    </row>
    <row r="59" spans="1:96" x14ac:dyDescent="0.25">
      <c r="A59" s="16">
        <v>53</v>
      </c>
      <c r="B59" s="17" t="str" cm="1">
        <f t="array" ref="B59">INDEX(T,18+INT(MOD(R59-1,7)),lang)</f>
        <v>Thu</v>
      </c>
      <c r="C59" s="18" t="str" cm="1">
        <f t="array" ref="C59">INDEX(T,24+MONTH(R59),lang) &amp; " " &amp; DAY(R59) &amp; ", " &amp; YEAR(R59)</f>
        <v>Jun 25, 2026</v>
      </c>
      <c r="D59" s="120">
        <f t="shared" si="7"/>
        <v>8.3333333333333329E-2</v>
      </c>
      <c r="E59" s="78" t="str">
        <f>AE11</f>
        <v>Czech Republic</v>
      </c>
      <c r="F59" s="19">
        <v>0</v>
      </c>
      <c r="G59" s="20">
        <v>3</v>
      </c>
      <c r="H59" s="80" t="str">
        <f>AE8</f>
        <v>Mexico</v>
      </c>
      <c r="I59" s="69"/>
      <c r="J59" s="33" t="str">
        <f>VLOOKUP(3,AD56:AN59,2,FALSE)</f>
        <v>Senegal</v>
      </c>
      <c r="K59" s="23">
        <f>L59+M59+N59</f>
        <v>3</v>
      </c>
      <c r="L59" s="23">
        <f>VLOOKUP(3,AD56:AN59,3,FALSE)</f>
        <v>1</v>
      </c>
      <c r="M59" s="23">
        <f>VLOOKUP(3,AD56:AN59,4,FALSE)</f>
        <v>0</v>
      </c>
      <c r="N59" s="23">
        <f>VLOOKUP(3,AD56:AN59,5,FALSE)</f>
        <v>2</v>
      </c>
      <c r="O59" s="23" t="str">
        <f>VLOOKUP(3,AD56:AN59,6,FALSE) &amp; " - " &amp; VLOOKUP(3,AD56:AN59,7,FALSE)</f>
        <v>8 - 6</v>
      </c>
      <c r="P59" s="34">
        <f>L59*3+M59</f>
        <v>3</v>
      </c>
      <c r="R59" s="123">
        <f>DATE(2026,6,24)+TIME(14,0,0)+gmt_delta</f>
        <v>46198.083333333336</v>
      </c>
      <c r="S59" s="127" t="str">
        <f t="shared" si="19"/>
        <v>Czech Republic_lose</v>
      </c>
      <c r="T59" s="127" t="str">
        <f t="shared" si="20"/>
        <v>Mexico_win</v>
      </c>
      <c r="U59" s="123">
        <f t="shared" si="8"/>
        <v>0</v>
      </c>
      <c r="V59" s="123">
        <f t="shared" si="21"/>
        <v>0</v>
      </c>
      <c r="W59" s="123">
        <f t="shared" si="22"/>
        <v>0</v>
      </c>
      <c r="X59" s="123">
        <f t="shared" si="9"/>
        <v>0</v>
      </c>
      <c r="Y59" s="123">
        <f t="shared" si="10"/>
        <v>0</v>
      </c>
      <c r="Z59" s="123">
        <f t="shared" si="11"/>
        <v>0</v>
      </c>
      <c r="AA59" s="123">
        <f t="shared" si="17"/>
        <v>0</v>
      </c>
      <c r="AB59" s="123">
        <f t="shared" si="23"/>
        <v>-1</v>
      </c>
      <c r="AD59" s="123">
        <f>COUNTIF(AR56:AR59,CONCATENATE("&gt;=",AR59))</f>
        <v>2</v>
      </c>
      <c r="AE59" s="124" t="str">
        <f>VLOOKUP("Norway",T,lang,FALSE)</f>
        <v>Norway</v>
      </c>
      <c r="AF59" s="123">
        <f>COUNTIF($S$7:$T$78,"=" &amp; AE59 &amp; "_win")</f>
        <v>2</v>
      </c>
      <c r="AG59" s="123">
        <f>COUNTIF($S$7:$T$78,"=" &amp; AE59 &amp; "_draw")</f>
        <v>0</v>
      </c>
      <c r="AH59" s="123">
        <f>COUNTIF($S$7:$T$78,"=" &amp; AE59 &amp; "_lose")</f>
        <v>1</v>
      </c>
      <c r="AI59" s="123">
        <f>SUMIF($E$7:$E$78,$AE59,$F$7:$F$78) + SUMIF($H$7:$H$78,$AE59,$G$7:$G$78)</f>
        <v>8</v>
      </c>
      <c r="AJ59" s="123">
        <f>SUMIF($E$7:$E$78,$AE59,$G$7:$G$78) + SUMIF($H$7:$H$78,$AE59,$F$7:$F$78)</f>
        <v>7</v>
      </c>
      <c r="AL59" s="123">
        <f>AI59-AJ59</f>
        <v>1</v>
      </c>
      <c r="AM59" s="123">
        <f>AL59-AL60</f>
        <v>12</v>
      </c>
      <c r="AN59" s="123">
        <f>AF59*3+AG59</f>
        <v>6</v>
      </c>
      <c r="AO59" s="123">
        <f>AN59/AN60*10+BA59</f>
        <v>6</v>
      </c>
      <c r="AP59" s="123">
        <f>AO59*10000000+BI59*100+AM59/AM60*10+AI59/AI60*1++IF(AQ59=0,ROW(),AQ59)/2000000</f>
        <v>60000006.728048198</v>
      </c>
      <c r="AQ59" s="126">
        <f>VLOOKUP(AE59,db_fifarank,2,FALSE)</f>
        <v>1550.94</v>
      </c>
      <c r="AR59" s="125">
        <f>AP59/AP60</f>
        <v>0.66666665690402149</v>
      </c>
      <c r="AT59" s="126" cm="1">
        <f t="array" ref="AT59">SUMPRODUCT(($S$7:$S$78=AE59&amp;"_win")*($U$7:$U$78))+SUMPRODUCT(($T$7:$T$78=AE59&amp;"_win")*($U$7:$U$78))</f>
        <v>0</v>
      </c>
      <c r="AU59" s="126" cm="1">
        <f t="array" ref="AU59">SUMPRODUCT(($S$7:$S$78=AE59&amp;"_draw")*($U$7:$U$78))+SUMPRODUCT(($T$7:$T$78=AE59&amp;"_draw")*($U$7:$U$78))</f>
        <v>0</v>
      </c>
      <c r="AV59" s="126" cm="1">
        <f t="array" ref="AV59">SUMPRODUCT(($E$7:$E$78=AE59)*($U$7:$U$78)*($F$7:$F$78))+SUMPRODUCT(($H$7:$H$78=AE59)*($U$7:$U$78)*($G$7:$G$78))</f>
        <v>0</v>
      </c>
      <c r="AW59" s="126" cm="1">
        <f t="array" ref="AW59">SUMPRODUCT(($E$7:$E$78=AE59)*($U$7:$U$78)*($G$7:$G$78))+SUMPRODUCT(($H$7:$H$78=AE59)*($U$7:$U$78)*($F$7:$F$78))</f>
        <v>0</v>
      </c>
      <c r="AX59" s="126">
        <f>AV59-AW59</f>
        <v>0</v>
      </c>
      <c r="AY59" s="126">
        <f>AX59-MIN(AX56:AX59)</f>
        <v>0</v>
      </c>
      <c r="AZ59" s="126">
        <f>AT59/AT60*1000+AU59/AU60*100+AY59/AY60*10+AV59/AV60</f>
        <v>0</v>
      </c>
      <c r="BA59" s="126">
        <f>AZ59/AZ60</f>
        <v>0</v>
      </c>
      <c r="BB59" s="126" cm="1">
        <f t="array" ref="BB59">SUMPRODUCT(($S$7:$S$78=AE59&amp;"_win")*($X$7:$X$78))+SUMPRODUCT(($T$7:$T$78=AE59&amp;"_win")*($X$7:$X$78))</f>
        <v>0</v>
      </c>
      <c r="BC59" s="126" cm="1">
        <f t="array" ref="BC59">SUMPRODUCT(($S$7:$S$78=AE59&amp;"_draw")*($X$7:$X$78))+SUMPRODUCT(($T$7:$T$78=AE59&amp;"_draw")*($X$7:$X$78))</f>
        <v>0</v>
      </c>
      <c r="BD59" s="126" cm="1">
        <f t="array" ref="BD59">SUMPRODUCT(($E$7:$E$78=AE59)*($X$7:$X$78)*($F$7:$F$78))+SUMPRODUCT(($H$7:$H$78=AE59)*($X$7:$X$78)*($G$7:$G$78))</f>
        <v>0</v>
      </c>
      <c r="BE59" s="126" cm="1">
        <f t="array" ref="BE59">SUMPRODUCT(($E$7:$E$78=AE59)*($X$7:$X$78)*($G$7:$G$78))+SUMPRODUCT(($H$7:$H$78=AE59)*($X$7:$X$78)*($F$7:$F$78))</f>
        <v>0</v>
      </c>
      <c r="BF59" s="126">
        <f>BD59-BE59</f>
        <v>0</v>
      </c>
      <c r="BG59" s="126">
        <f>BF59-MIN(BF56:BF59)</f>
        <v>0</v>
      </c>
      <c r="BH59" s="126">
        <f t="shared" si="26"/>
        <v>0</v>
      </c>
      <c r="BI59" s="126">
        <f>BH59/BH60</f>
        <v>0</v>
      </c>
      <c r="BK59" s="132"/>
      <c r="BL59" s="26" t="str">
        <f>AS51</f>
        <v>Cape Verde</v>
      </c>
      <c r="BM59" s="62">
        <v>1</v>
      </c>
      <c r="BN59" s="64">
        <v>2</v>
      </c>
      <c r="BO59" s="27"/>
      <c r="BP59" s="113">
        <f>IF(BP58="","",BM59*1000+BN59*10+BO59)</f>
        <v>1020</v>
      </c>
      <c r="BQ59" s="112"/>
      <c r="BR59" s="21" t="str" cm="1">
        <f t="array" ref="BR59">INDEX(T,24+MONTH(BW59),lang) &amp; " " &amp; DAY(BW59) &amp; ", " &amp; YEAR(BW59) &amp; "   " &amp; (IF(HOUR(BW59)&lt;10,0,"")&amp;HOUR(BW59)) &amp; ":" &amp;  (IF(MINUTE(BW59)&lt;10,0,"")&amp;MINUTE(BW59))</f>
        <v>Jul 7, 2026   17:00</v>
      </c>
      <c r="BS59" s="21"/>
      <c r="BT59" s="21"/>
      <c r="BU59" s="21"/>
      <c r="BV59" s="28"/>
      <c r="BW59" s="112">
        <f>DATE(2026,7,7)+TIME(5,0,0)+gmt_delta</f>
        <v>46210.708333333336</v>
      </c>
      <c r="BX59" s="112"/>
      <c r="BY59" s="21"/>
      <c r="BZ59" s="21"/>
      <c r="CA59" s="21"/>
      <c r="CB59" s="21"/>
      <c r="CC59" s="21"/>
      <c r="CD59" s="114"/>
    </row>
    <row r="60" spans="1:96" x14ac:dyDescent="0.25">
      <c r="A60" s="16">
        <v>54</v>
      </c>
      <c r="B60" s="17" t="str" cm="1">
        <f t="array" ref="B60">INDEX(T,18+INT(MOD(R60-1,7)),lang)</f>
        <v>Thu</v>
      </c>
      <c r="C60" s="18" t="str" cm="1">
        <f t="array" ref="C60">INDEX(T,24+MONTH(R60),lang) &amp; " " &amp; DAY(R60) &amp; ", " &amp; YEAR(R60)</f>
        <v>Jun 25, 2026</v>
      </c>
      <c r="D60" s="120">
        <f t="shared" si="7"/>
        <v>8.3333333333333329E-2</v>
      </c>
      <c r="E60" s="78" t="str">
        <f>AE9</f>
        <v>South Africa</v>
      </c>
      <c r="F60" s="19">
        <v>1</v>
      </c>
      <c r="G60" s="20">
        <v>0</v>
      </c>
      <c r="H60" s="80" t="str">
        <f>AE10</f>
        <v>Korea Republic</v>
      </c>
      <c r="I60" s="69"/>
      <c r="J60" s="35" t="str">
        <f>VLOOKUP(4,AD56:AN59,2,FALSE)</f>
        <v>Iraq</v>
      </c>
      <c r="K60" s="36">
        <f>L60+M60+N60</f>
        <v>3</v>
      </c>
      <c r="L60" s="36">
        <f>VLOOKUP(4,AD56:AN59,3,FALSE)</f>
        <v>0</v>
      </c>
      <c r="M60" s="36">
        <f>VLOOKUP(4,AD56:AN59,4,FALSE)</f>
        <v>0</v>
      </c>
      <c r="N60" s="36">
        <f>VLOOKUP(4,AD56:AN59,5,FALSE)</f>
        <v>3</v>
      </c>
      <c r="O60" s="36" t="str">
        <f>VLOOKUP(4,AD56:AN59,6,FALSE) &amp; " - " &amp; VLOOKUP(4,AD56:AN59,7,FALSE)</f>
        <v>1 - 12</v>
      </c>
      <c r="P60" s="37">
        <f>L60*3+M60</f>
        <v>0</v>
      </c>
      <c r="R60" s="123">
        <f>DATE(2026,6,24)+TIME(14,0,0)+gmt_delta</f>
        <v>46198.083333333336</v>
      </c>
      <c r="S60" s="127" t="str">
        <f t="shared" si="19"/>
        <v>South Africa_win</v>
      </c>
      <c r="T60" s="127" t="str">
        <f t="shared" si="20"/>
        <v>Korea Republic_lose</v>
      </c>
      <c r="U60" s="123">
        <f t="shared" si="8"/>
        <v>0</v>
      </c>
      <c r="V60" s="123">
        <f t="shared" si="21"/>
        <v>0</v>
      </c>
      <c r="W60" s="123">
        <f t="shared" si="22"/>
        <v>0</v>
      </c>
      <c r="X60" s="123">
        <f t="shared" si="9"/>
        <v>0</v>
      </c>
      <c r="Y60" s="123">
        <f t="shared" si="10"/>
        <v>0</v>
      </c>
      <c r="Z60" s="123">
        <f t="shared" si="11"/>
        <v>0</v>
      </c>
      <c r="AA60" s="123">
        <f t="shared" si="17"/>
        <v>0</v>
      </c>
      <c r="AB60" s="123">
        <f t="shared" si="23"/>
        <v>1</v>
      </c>
      <c r="AF60" s="123">
        <f t="shared" ref="AF60:AH60" si="27">MAX(AF56:AF59)-MIN(AF56:AF59)+1</f>
        <v>4</v>
      </c>
      <c r="AG60" s="123">
        <f t="shared" si="27"/>
        <v>1</v>
      </c>
      <c r="AH60" s="123">
        <f t="shared" si="27"/>
        <v>4</v>
      </c>
      <c r="AI60" s="123">
        <f>MAX(AI56:AI59)+1</f>
        <v>11</v>
      </c>
      <c r="AL60" s="123">
        <f>MIN(AL56:AL59)</f>
        <v>-11</v>
      </c>
      <c r="AM60" s="123">
        <f>MAX(AM56:AM59)+1</f>
        <v>20</v>
      </c>
      <c r="AN60" s="123">
        <f>MAX(AN56:AN59)+1</f>
        <v>10</v>
      </c>
      <c r="AO60" s="123">
        <f>MAX(AO56:AO59)+1</f>
        <v>10</v>
      </c>
      <c r="AP60" s="123">
        <f>MAX(AP56:AP59)+1</f>
        <v>90000011.41002956</v>
      </c>
      <c r="AT60" s="126">
        <f>MAX(AT56:AT59)-MIN(AT56:AT59)+1</f>
        <v>1</v>
      </c>
      <c r="AU60" s="126">
        <f>MAX(AU56:AU59)-MIN(AU56:AU59)+1</f>
        <v>1</v>
      </c>
      <c r="AV60" s="126">
        <f>MAX(AV56:AV59)-MIN(AV56:AV59)+1</f>
        <v>1</v>
      </c>
      <c r="AW60" s="126">
        <f>MAX(AW56:AW59)-MIN(AW56:AW59)+1</f>
        <v>1</v>
      </c>
      <c r="AY60" s="126">
        <f>MAX(AY56:AY59)-MIN(AY56:AY59)+1</f>
        <v>1</v>
      </c>
      <c r="AZ60" s="126">
        <f>MAX(AZ56:AZ59)+1</f>
        <v>1</v>
      </c>
      <c r="BB60" s="126">
        <f>MAX(BB56:BB59)-MIN(BB56:BB59)+1</f>
        <v>1</v>
      </c>
      <c r="BC60" s="126">
        <f>MAX(BC56:BC59)-MIN(BC56:BC59)+1</f>
        <v>1</v>
      </c>
      <c r="BD60" s="126">
        <f>MAX(BD56:BD59)-MIN(BD56:BD59)+1</f>
        <v>1</v>
      </c>
      <c r="BE60" s="126">
        <f>MAX(BE56:BE59)-MIN(BE56:BE59)+1</f>
        <v>1</v>
      </c>
      <c r="BG60" s="126">
        <f>MAX(BG56:BG59)-MIN(BG56:BG59)+1</f>
        <v>1</v>
      </c>
      <c r="BH60" s="126">
        <f>MAX(BH56:BH59)+1</f>
        <v>1</v>
      </c>
      <c r="BK60" s="21"/>
      <c r="BL60" s="21"/>
      <c r="BM60" s="21"/>
      <c r="BN60" s="21"/>
      <c r="BO60" s="21"/>
      <c r="BP60" s="114"/>
      <c r="BQ60" s="112"/>
      <c r="BR60" s="131">
        <v>95</v>
      </c>
      <c r="BS60" s="24" t="str">
        <f>IF(BP58&gt;BP59,BL58,IF(BP58&lt;BP59,BL59,""))</f>
        <v>Argentina</v>
      </c>
      <c r="BT60" s="61">
        <v>3</v>
      </c>
      <c r="BU60" s="63"/>
      <c r="BV60" s="25"/>
      <c r="BW60" s="112">
        <f>IF(OR(BT60="",BT61="",AND(BU60="",BU61&lt;&gt;""),AND(BU61="",BU60&lt;&gt;""),AND(BV60="",BV61&lt;&gt;""),AND(BV61="",BV60&lt;&gt;"")),"",BT60*1000+BU60*10+BV60)</f>
        <v>3000</v>
      </c>
      <c r="BX60" s="112"/>
      <c r="BY60" s="21"/>
      <c r="BZ60" s="21"/>
      <c r="CA60" s="21"/>
      <c r="CB60" s="21"/>
      <c r="CC60" s="21"/>
      <c r="CD60" s="114"/>
    </row>
    <row r="61" spans="1:96" x14ac:dyDescent="0.25">
      <c r="A61" s="16">
        <v>55</v>
      </c>
      <c r="B61" s="17" t="str" cm="1">
        <f t="array" ref="B61">INDEX(T,18+INT(MOD(R61-1,7)),lang)</f>
        <v>Thu</v>
      </c>
      <c r="C61" s="18" t="str" cm="1">
        <f t="array" ref="C61">INDEX(T,24+MONTH(R61),lang) &amp; " " &amp; DAY(R61) &amp; ", " &amp; YEAR(R61)</f>
        <v>Jun 25, 2026</v>
      </c>
      <c r="D61" s="120">
        <f t="shared" si="7"/>
        <v>0.875</v>
      </c>
      <c r="E61" s="78" t="str">
        <f>AE33</f>
        <v>Curaçao</v>
      </c>
      <c r="F61" s="19">
        <v>0</v>
      </c>
      <c r="G61" s="20">
        <v>2</v>
      </c>
      <c r="H61" s="80" t="str">
        <f>AE34</f>
        <v>Ivory Coast</v>
      </c>
      <c r="I61" s="69"/>
      <c r="J61" s="72"/>
      <c r="K61" s="70"/>
      <c r="L61" s="70"/>
      <c r="M61" s="70"/>
      <c r="N61" s="70"/>
      <c r="O61" s="70"/>
      <c r="P61" s="70"/>
      <c r="R61" s="123">
        <f>DATE(2026,6,25)+TIME(9,0,0)+gmt_delta</f>
        <v>46198.875</v>
      </c>
      <c r="S61" s="127" t="str">
        <f t="shared" si="19"/>
        <v>Curaçao_lose</v>
      </c>
      <c r="T61" s="127" t="str">
        <f t="shared" si="20"/>
        <v>Ivory Coast_win</v>
      </c>
      <c r="U61" s="123">
        <f t="shared" si="8"/>
        <v>0</v>
      </c>
      <c r="V61" s="123">
        <f t="shared" si="21"/>
        <v>0</v>
      </c>
      <c r="W61" s="123">
        <f t="shared" si="22"/>
        <v>0</v>
      </c>
      <c r="X61" s="123">
        <f t="shared" si="9"/>
        <v>0</v>
      </c>
      <c r="Y61" s="123">
        <f t="shared" si="10"/>
        <v>0</v>
      </c>
      <c r="Z61" s="123">
        <f t="shared" si="11"/>
        <v>0</v>
      </c>
      <c r="AA61" s="123">
        <f t="shared" si="17"/>
        <v>0</v>
      </c>
      <c r="AB61" s="123">
        <f t="shared" si="23"/>
        <v>-1</v>
      </c>
      <c r="BK61" s="21" t="str" cm="1">
        <f t="array" ref="BK61">INDEX(T,24+MONTH(BP61),lang) &amp; " " &amp; DAY(BP61) &amp; ", " &amp; YEAR(BP61) &amp; "   " &amp; (IF(HOUR(BP61)&lt;10,0,"")&amp;HOUR(BP61)) &amp; ":" &amp;  (IF(MINUTE(BP61)&lt;10,0,"")&amp;MINUTE(BP61))</f>
        <v>Jul 3, 2026   19:00</v>
      </c>
      <c r="BL61" s="21"/>
      <c r="BM61" s="21"/>
      <c r="BN61" s="21"/>
      <c r="BO61" s="28"/>
      <c r="BP61" s="114">
        <f>DATE(2026,7,3)+TIME(7,0,0)+gmt_delta</f>
        <v>46206.791666666664</v>
      </c>
      <c r="BQ61" s="115"/>
      <c r="BR61" s="132"/>
      <c r="BS61" s="26" t="str">
        <f>IF(BP62&gt;BP63,BL62,IF(BP62&lt;BP63,BL63,""))</f>
        <v>Egypt</v>
      </c>
      <c r="BT61" s="62">
        <v>2</v>
      </c>
      <c r="BU61" s="64"/>
      <c r="BV61" s="27"/>
      <c r="BW61" s="113">
        <f>IF(BW60="","",BT61*1000+BU61*10+BV61)</f>
        <v>2000</v>
      </c>
      <c r="BX61" s="112"/>
      <c r="BY61" s="21"/>
      <c r="BZ61" s="21"/>
      <c r="CA61" s="21"/>
      <c r="CB61" s="21"/>
      <c r="CC61" s="21"/>
      <c r="CD61" s="114"/>
    </row>
    <row r="62" spans="1:96" x14ac:dyDescent="0.25">
      <c r="A62" s="16">
        <v>56</v>
      </c>
      <c r="B62" s="17" t="str" cm="1">
        <f t="array" ref="B62">INDEX(T,18+INT(MOD(R62-1,7)),lang)</f>
        <v>Thu</v>
      </c>
      <c r="C62" s="18" t="str" cm="1">
        <f t="array" ref="C62">INDEX(T,24+MONTH(R62),lang) &amp; " " &amp; DAY(R62) &amp; ", " &amp; YEAR(R62)</f>
        <v>Jun 25, 2026</v>
      </c>
      <c r="D62" s="120">
        <f t="shared" si="7"/>
        <v>0.875</v>
      </c>
      <c r="E62" s="78" t="str">
        <f>AE35</f>
        <v>Ecuador</v>
      </c>
      <c r="F62" s="19">
        <v>2</v>
      </c>
      <c r="G62" s="20">
        <v>1</v>
      </c>
      <c r="H62" s="80" t="str">
        <f>AE32</f>
        <v>Germany</v>
      </c>
      <c r="I62" s="69"/>
      <c r="J62" s="38" t="str" cm="1">
        <f t="array" ref="J62">INDEX(T,9,lang) &amp; " " &amp; "J"</f>
        <v>Group J</v>
      </c>
      <c r="K62" s="94" t="str" cm="1">
        <f t="array" ref="K62">INDEX(T,10,lang)</f>
        <v>PL</v>
      </c>
      <c r="L62" s="94" t="str" cm="1">
        <f t="array" ref="L62">INDEX(T,11,lang)</f>
        <v>W</v>
      </c>
      <c r="M62" s="94" t="str" cm="1">
        <f t="array" ref="M62">INDEX(T,12,lang)</f>
        <v>DRAW</v>
      </c>
      <c r="N62" s="94" t="str" cm="1">
        <f t="array" ref="N62">INDEX(T,13,lang)</f>
        <v>L</v>
      </c>
      <c r="O62" s="94" t="str" cm="1">
        <f t="array" ref="O62">INDEX(T,14,lang)</f>
        <v>GF - GA</v>
      </c>
      <c r="P62" s="95" t="str" cm="1">
        <f t="array" ref="P62">INDEX(T,15,lang)</f>
        <v>PNT</v>
      </c>
      <c r="R62" s="123">
        <f>DATE(2026,6,25)+TIME(9,0,0)+gmt_delta</f>
        <v>46198.875</v>
      </c>
      <c r="S62" s="127" t="str">
        <f t="shared" si="19"/>
        <v>Ecuador_win</v>
      </c>
      <c r="T62" s="127" t="str">
        <f t="shared" si="20"/>
        <v>Germany_lose</v>
      </c>
      <c r="U62" s="123">
        <f t="shared" si="8"/>
        <v>0</v>
      </c>
      <c r="V62" s="123">
        <f t="shared" si="21"/>
        <v>0</v>
      </c>
      <c r="W62" s="123">
        <f t="shared" si="22"/>
        <v>0</v>
      </c>
      <c r="X62" s="123">
        <f t="shared" si="9"/>
        <v>0</v>
      </c>
      <c r="Y62" s="123">
        <f t="shared" si="10"/>
        <v>0</v>
      </c>
      <c r="Z62" s="123">
        <f t="shared" si="11"/>
        <v>0</v>
      </c>
      <c r="AA62" s="123">
        <f t="shared" si="17"/>
        <v>0</v>
      </c>
      <c r="AB62" s="123">
        <f t="shared" si="23"/>
        <v>1</v>
      </c>
      <c r="AD62" s="123">
        <f>COUNTIF(AR62:AR65,CONCATENATE("&gt;=",AR62))</f>
        <v>1</v>
      </c>
      <c r="AE62" s="124" t="str">
        <f>VLOOKUP("Argentina",T,lang,FALSE)</f>
        <v>Argentina</v>
      </c>
      <c r="AF62" s="123">
        <f>COUNTIF($S$7:$T$78,"=" &amp; AE62 &amp; "_win")</f>
        <v>3</v>
      </c>
      <c r="AG62" s="123">
        <f>COUNTIF($S$7:$T$78,"=" &amp; AE62 &amp; "_draw")</f>
        <v>0</v>
      </c>
      <c r="AH62" s="123">
        <f>COUNTIF($S$7:$T$78,"=" &amp; AE62 &amp; "_lose")</f>
        <v>0</v>
      </c>
      <c r="AI62" s="123">
        <f>SUMIF($E$7:$E$78,$AE62,$F$7:$F$78) + SUMIF($H$7:$H$78,$AE62,$G$7:$G$78)</f>
        <v>8</v>
      </c>
      <c r="AJ62" s="123">
        <f>SUMIF($E$7:$E$78,$AE62,$G$7:$G$78) + SUMIF($H$7:$H$78,$AE62,$F$7:$F$78)</f>
        <v>1</v>
      </c>
      <c r="AL62" s="123">
        <f>AI62-AJ62</f>
        <v>7</v>
      </c>
      <c r="AM62" s="123">
        <f>AL62-AL66</f>
        <v>12</v>
      </c>
      <c r="AN62" s="123">
        <f>AF62*3+AG62</f>
        <v>9</v>
      </c>
      <c r="AO62" s="123">
        <f>AN62/AN66*10+BA62</f>
        <v>9</v>
      </c>
      <c r="AP62" s="123">
        <f>AO62*10000000+BI62*100+AM62/AM66*10+AI62/AI66*1++IF(AQ62=0,ROW(),AQ62)/2000000</f>
        <v>90000010.120595545</v>
      </c>
      <c r="AQ62" s="126">
        <f>VLOOKUP(AE62,db_fifarank,2,FALSE)</f>
        <v>1874.82</v>
      </c>
      <c r="AR62" s="125">
        <f>AP62/AP66</f>
        <v>0.9999999888888903</v>
      </c>
      <c r="AS62" s="125" t="str">
        <f>IF(SUM(AF62:AH65)=12,J63,"1J")</f>
        <v>Argentina</v>
      </c>
      <c r="AT62" s="126" cm="1">
        <f t="array" ref="AT62">SUMPRODUCT(($S$7:$S$78=AE62&amp;"_win")*($U$7:$U$78))+SUMPRODUCT(($T$7:$T$78=AE62&amp;"_win")*($U$7:$U$78))</f>
        <v>0</v>
      </c>
      <c r="AU62" s="126" cm="1">
        <f t="array" ref="AU62">SUMPRODUCT(($S$7:$S$78=AE62&amp;"_draw")*($U$7:$U$78))+SUMPRODUCT(($T$7:$T$78=AE62&amp;"_draw")*($U$7:$U$78))</f>
        <v>0</v>
      </c>
      <c r="AV62" s="126" cm="1">
        <f t="array" ref="AV62">SUMPRODUCT(($E$7:$E$78=AE62)*($U$7:$U$78)*($F$7:$F$78))+SUMPRODUCT(($H$7:$H$78=AE62)*($U$7:$U$78)*($G$7:$G$78))</f>
        <v>0</v>
      </c>
      <c r="AW62" s="126" cm="1">
        <f t="array" ref="AW62">SUMPRODUCT(($E$7:$E$78=AE62)*($U$7:$U$78)*($G$7:$G$78))+SUMPRODUCT(($H$7:$H$78=AE62)*($U$7:$U$78)*($F$7:$F$78))</f>
        <v>0</v>
      </c>
      <c r="AX62" s="126">
        <f>AV62-AW62</f>
        <v>0</v>
      </c>
      <c r="AY62" s="126">
        <f>AX62-MIN(AX62:AX65)</f>
        <v>0</v>
      </c>
      <c r="AZ62" s="126">
        <f>AT62/AT66*1000+AU62/AU66*100+AY62/AY66*10+AV62/AV66</f>
        <v>0</v>
      </c>
      <c r="BA62" s="126">
        <f>AZ62/AZ66</f>
        <v>0</v>
      </c>
      <c r="BB62" s="126" cm="1">
        <f t="array" ref="BB62">SUMPRODUCT(($S$7:$S$78=AE62&amp;"_win")*($X$7:$X$78))+SUMPRODUCT(($T$7:$T$78=AE62&amp;"_win")*($X$7:$X$78))</f>
        <v>0</v>
      </c>
      <c r="BC62" s="126" cm="1">
        <f t="array" ref="BC62">SUMPRODUCT(($S$7:$S$78=AE62&amp;"_draw")*($X$7:$X$78))+SUMPRODUCT(($T$7:$T$78=AE62&amp;"_draw")*($X$7:$X$78))</f>
        <v>0</v>
      </c>
      <c r="BD62" s="126" cm="1">
        <f t="array" ref="BD62">SUMPRODUCT(($E$7:$E$78=AE62)*($X$7:$X$78)*($F$7:$F$78))+SUMPRODUCT(($H$7:$H$78=AE62)*($X$7:$X$78)*($G$7:$G$78))</f>
        <v>0</v>
      </c>
      <c r="BE62" s="126" cm="1">
        <f t="array" ref="BE62">SUMPRODUCT(($E$7:$E$78=AE62)*($X$7:$X$78)*($G$7:$G$78))+SUMPRODUCT(($H$7:$H$78=AE62)*($X$7:$X$78)*($F$7:$F$78))</f>
        <v>0</v>
      </c>
      <c r="BF62" s="126">
        <f>BD62-BE62</f>
        <v>0</v>
      </c>
      <c r="BG62" s="126">
        <f>BF62-MIN(BF62:BF65)</f>
        <v>0</v>
      </c>
      <c r="BH62" s="126">
        <f>BB62/BB66*1000+BC62/BC66*100+BG62/BG66*10+BD62/BD66</f>
        <v>0</v>
      </c>
      <c r="BI62" s="126">
        <f>BH62/BH66</f>
        <v>0</v>
      </c>
      <c r="BK62" s="131">
        <v>88</v>
      </c>
      <c r="BL62" s="24" t="str">
        <f>AS27</f>
        <v>Australia</v>
      </c>
      <c r="BM62" s="61">
        <v>1</v>
      </c>
      <c r="BN62" s="63">
        <v>1</v>
      </c>
      <c r="BO62" s="25">
        <v>2</v>
      </c>
      <c r="BP62" s="116">
        <f>IF(OR(BM62="",BM63="",AND(BN62="",BN63&lt;&gt;""),AND(BN63="",BN62&lt;&gt;""),AND(BO62="",BO63&lt;&gt;""),AND(BO63="",BO62&lt;&gt;"")),"",BM62*1000+BN62*10+BO62)</f>
        <v>1012</v>
      </c>
      <c r="BQ62" s="112"/>
      <c r="BR62" s="21"/>
      <c r="BS62" s="21"/>
      <c r="BT62" s="21"/>
      <c r="BU62" s="21"/>
      <c r="BV62" s="21"/>
      <c r="BW62" s="114"/>
      <c r="BX62" s="112"/>
      <c r="BY62" s="21"/>
      <c r="BZ62" s="21"/>
      <c r="CA62" s="21"/>
      <c r="CB62" s="21"/>
      <c r="CC62" s="21"/>
      <c r="CD62" s="114"/>
    </row>
    <row r="63" spans="1:96" x14ac:dyDescent="0.25">
      <c r="A63" s="16">
        <v>57</v>
      </c>
      <c r="B63" s="17" t="str" cm="1">
        <f t="array" ref="B63">INDEX(T,18+INT(MOD(R63-1,7)),lang)</f>
        <v>Fri</v>
      </c>
      <c r="C63" s="18" t="str" cm="1">
        <f t="array" ref="C63">INDEX(T,24+MONTH(R63),lang) &amp; " " &amp; DAY(R63) &amp; ", " &amp; YEAR(R63)</f>
        <v>Jun 26, 2026</v>
      </c>
      <c r="D63" s="120">
        <f t="shared" si="7"/>
        <v>0</v>
      </c>
      <c r="E63" s="78" t="str">
        <f>AE39</f>
        <v>Japan</v>
      </c>
      <c r="F63" s="19">
        <v>1</v>
      </c>
      <c r="G63" s="20">
        <v>1</v>
      </c>
      <c r="H63" s="80" t="str">
        <f>AE40</f>
        <v>Sweden</v>
      </c>
      <c r="I63" s="69"/>
      <c r="J63" s="30" t="str">
        <f>VLOOKUP(1,AD62:AN65,2,FALSE)</f>
        <v>Argentina</v>
      </c>
      <c r="K63" s="31">
        <f>L63+M63+N63</f>
        <v>3</v>
      </c>
      <c r="L63" s="31">
        <f>VLOOKUP(1,AD62:AN65,3,FALSE)</f>
        <v>3</v>
      </c>
      <c r="M63" s="31">
        <f>VLOOKUP(1,AD62:AN65,4,FALSE)</f>
        <v>0</v>
      </c>
      <c r="N63" s="31">
        <f>VLOOKUP(1,AD62:AN65,5,FALSE)</f>
        <v>0</v>
      </c>
      <c r="O63" s="31" t="str">
        <f>VLOOKUP(1,AD62:AN65,6,FALSE) &amp; " - " &amp; VLOOKUP(1,AD62:AN65,7,FALSE)</f>
        <v>8 - 1</v>
      </c>
      <c r="P63" s="32">
        <f>L63*3+M63</f>
        <v>9</v>
      </c>
      <c r="R63" s="123">
        <f>DATE(2026,6,25)+TIME(12,0,0)+gmt_delta</f>
        <v>46199</v>
      </c>
      <c r="S63" s="127" t="str">
        <f t="shared" si="19"/>
        <v>Japan_draw</v>
      </c>
      <c r="T63" s="127" t="str">
        <f t="shared" si="20"/>
        <v>Sweden_draw</v>
      </c>
      <c r="U63" s="123">
        <f t="shared" si="8"/>
        <v>0</v>
      </c>
      <c r="V63" s="123">
        <f t="shared" si="21"/>
        <v>0</v>
      </c>
      <c r="W63" s="123">
        <f t="shared" si="22"/>
        <v>0</v>
      </c>
      <c r="X63" s="123">
        <f t="shared" si="9"/>
        <v>0</v>
      </c>
      <c r="Y63" s="123">
        <f t="shared" si="10"/>
        <v>0</v>
      </c>
      <c r="Z63" s="123">
        <f t="shared" si="11"/>
        <v>0</v>
      </c>
      <c r="AA63" s="123">
        <f t="shared" si="17"/>
        <v>0</v>
      </c>
      <c r="AB63" s="123">
        <f t="shared" si="23"/>
        <v>0</v>
      </c>
      <c r="AD63" s="123">
        <f>COUNTIF(AR62:AR65,CONCATENATE("&gt;=",AR63))</f>
        <v>3</v>
      </c>
      <c r="AE63" s="124" t="str">
        <f>VLOOKUP("Algeria",T,lang,FALSE)</f>
        <v>Algeria</v>
      </c>
      <c r="AF63" s="123">
        <f>COUNTIF($S$7:$T$78,"=" &amp; AE63 &amp; "_win")</f>
        <v>1</v>
      </c>
      <c r="AG63" s="123">
        <f>COUNTIF($S$7:$T$78,"=" &amp; AE63 &amp; "_draw")</f>
        <v>1</v>
      </c>
      <c r="AH63" s="123">
        <f>COUNTIF($S$7:$T$78,"=" &amp; AE63 &amp; "_lose")</f>
        <v>1</v>
      </c>
      <c r="AI63" s="123">
        <f>SUMIF($E$7:$E$78,$AE63,$F$7:$F$78) + SUMIF($H$7:$H$78,$AE63,$G$7:$G$78)</f>
        <v>5</v>
      </c>
      <c r="AJ63" s="123">
        <f>SUMIF($E$7:$E$78,$AE63,$G$7:$G$78) + SUMIF($H$7:$H$78,$AE63,$F$7:$F$78)</f>
        <v>7</v>
      </c>
      <c r="AL63" s="123">
        <f>AI63-AJ63</f>
        <v>-2</v>
      </c>
      <c r="AM63" s="123">
        <f>AL63-AL66</f>
        <v>3</v>
      </c>
      <c r="AN63" s="123">
        <f>AF63*3+AG63</f>
        <v>4</v>
      </c>
      <c r="AO63" s="123">
        <f>AN63/AN66*10+BA63</f>
        <v>4.9806763285024154</v>
      </c>
      <c r="AP63" s="123">
        <f>AO63*10000000+BI63*100+AM63/AM66*10+AI63/AI66*1++IF(AQ63=0,ROW(),AQ63)/2000000</f>
        <v>49806864.216686986</v>
      </c>
      <c r="AQ63" s="126">
        <f>VLOOKUP(AE63,db_fifarank,2,FALSE)</f>
        <v>1564.26</v>
      </c>
      <c r="AR63" s="125">
        <f>AP63/AP66</f>
        <v>0.55340953402714876</v>
      </c>
      <c r="AS63" s="125" t="str">
        <f>IF(SUM(AF62:AH65)=12,J64,"2J")</f>
        <v>Austria</v>
      </c>
      <c r="AT63" s="126" cm="1">
        <f t="array" ref="AT63">SUMPRODUCT(($S$7:$S$78=AE63&amp;"_win")*($U$7:$U$78))+SUMPRODUCT(($T$7:$T$78=AE63&amp;"_win")*($U$7:$U$78))</f>
        <v>0</v>
      </c>
      <c r="AU63" s="126" cm="1">
        <f t="array" ref="AU63">SUMPRODUCT(($S$7:$S$78=AE63&amp;"_draw")*($U$7:$U$78))+SUMPRODUCT(($T$7:$T$78=AE63&amp;"_draw")*($U$7:$U$78))</f>
        <v>1</v>
      </c>
      <c r="AV63" s="126" cm="1">
        <f t="array" ref="AV63">SUMPRODUCT(($E$7:$E$78=AE63)*($U$7:$U$78)*($F$7:$F$78))+SUMPRODUCT(($H$7:$H$78=AE63)*($U$7:$U$78)*($G$7:$G$78))</f>
        <v>3</v>
      </c>
      <c r="AW63" s="126" cm="1">
        <f t="array" ref="AW63">SUMPRODUCT(($E$7:$E$78=AE63)*($U$7:$U$78)*($G$7:$G$78))+SUMPRODUCT(($H$7:$H$78=AE63)*($U$7:$U$78)*($F$7:$F$78))</f>
        <v>3</v>
      </c>
      <c r="AX63" s="126">
        <f>AV63-AW63</f>
        <v>0</v>
      </c>
      <c r="AY63" s="126">
        <f>AX63-MIN(AX62:AX65)</f>
        <v>0</v>
      </c>
      <c r="AZ63" s="126">
        <f>AT63/AT66*1000+AU63/AU66*100+AY63/AY66*10+AV63/AV66</f>
        <v>50.75</v>
      </c>
      <c r="BA63" s="126">
        <f>AZ63/AZ66</f>
        <v>0.98067632850241548</v>
      </c>
      <c r="BB63" s="126" cm="1">
        <f t="array" ref="BB63">SUMPRODUCT(($S$7:$S$78=AE63&amp;"_win")*($X$7:$X$78))+SUMPRODUCT(($T$7:$T$78=AE63&amp;"_win")*($X$7:$X$78))</f>
        <v>0</v>
      </c>
      <c r="BC63" s="126" cm="1">
        <f t="array" ref="BC63">SUMPRODUCT(($S$7:$S$78=AE63&amp;"_draw")*($X$7:$X$78))+SUMPRODUCT(($T$7:$T$78=AE63&amp;"_draw")*($X$7:$X$78))</f>
        <v>1</v>
      </c>
      <c r="BD63" s="126" cm="1">
        <f t="array" ref="BD63">SUMPRODUCT(($E$7:$E$78=AE63)*($X$7:$X$78)*($F$7:$F$78))+SUMPRODUCT(($H$7:$H$78=AE63)*($X$7:$X$78)*($G$7:$G$78))</f>
        <v>3</v>
      </c>
      <c r="BE63" s="126" cm="1">
        <f t="array" ref="BE63">SUMPRODUCT(($E$7:$E$78=AE63)*($X$7:$X$78)*($G$7:$G$78))+SUMPRODUCT(($H$7:$H$78=AE63)*($X$7:$X$78)*($F$7:$F$78))</f>
        <v>3</v>
      </c>
      <c r="BF63" s="126">
        <f>BD63-BE63</f>
        <v>0</v>
      </c>
      <c r="BG63" s="126">
        <f>BF63-MIN(BF62:BF65)</f>
        <v>0</v>
      </c>
      <c r="BH63" s="126">
        <f>BB63/BB66*1000+BC63/BC66*100+BG63/BG66*10+BD63/BD66</f>
        <v>50.75</v>
      </c>
      <c r="BI63" s="126">
        <f>BH63/BH66</f>
        <v>0.98067632850241548</v>
      </c>
      <c r="BK63" s="132"/>
      <c r="BL63" s="26" t="str">
        <f>AS45</f>
        <v>Egypt</v>
      </c>
      <c r="BM63" s="62">
        <v>1</v>
      </c>
      <c r="BN63" s="64">
        <v>1</v>
      </c>
      <c r="BO63" s="27">
        <v>4</v>
      </c>
      <c r="BP63" s="112">
        <f>IF(BP62="","",BM63*1000+BN63*10+BO63)</f>
        <v>1014</v>
      </c>
      <c r="BQ63" s="112"/>
      <c r="BR63" s="21"/>
      <c r="BS63" s="21"/>
      <c r="BT63" s="21"/>
      <c r="BU63" s="21"/>
      <c r="BV63" s="21"/>
      <c r="BW63" s="114"/>
      <c r="BX63" s="112"/>
      <c r="BY63" s="21" t="str" cm="1">
        <f t="array" ref="BY63">INDEX(T,24+MONTH(CD63),lang) &amp; " " &amp; DAY(CD63) &amp; ", " &amp; YEAR(CD63) &amp; "   " &amp; (IF(HOUR(CD63)&lt;10,0,"")&amp;HOUR(CD63)) &amp; ":" &amp;  (IF(MINUTE(CD63)&lt;10,0,"")&amp;MINUTE(CD63))</f>
        <v>Jul 12, 2026   02:00</v>
      </c>
      <c r="BZ63" s="21"/>
      <c r="CA63" s="21"/>
      <c r="CB63" s="21"/>
      <c r="CC63" s="28"/>
      <c r="CD63" s="114">
        <f>DATE(2026,7,11)+TIME(14,0,0)+gmt_delta</f>
        <v>46215.083333333336</v>
      </c>
    </row>
    <row r="64" spans="1:96" x14ac:dyDescent="0.25">
      <c r="A64" s="16">
        <v>58</v>
      </c>
      <c r="B64" s="17" t="str" cm="1">
        <f t="array" ref="B64">INDEX(T,18+INT(MOD(R64-1,7)),lang)</f>
        <v>Fri</v>
      </c>
      <c r="C64" s="18" t="str" cm="1">
        <f t="array" ref="C64">INDEX(T,24+MONTH(R64),lang) &amp; " " &amp; DAY(R64) &amp; ", " &amp; YEAR(R64)</f>
        <v>Jun 26, 2026</v>
      </c>
      <c r="D64" s="120">
        <f t="shared" si="7"/>
        <v>0</v>
      </c>
      <c r="E64" s="78" t="str">
        <f>AE41</f>
        <v>Tunisia</v>
      </c>
      <c r="F64" s="19">
        <v>1</v>
      </c>
      <c r="G64" s="20">
        <v>3</v>
      </c>
      <c r="H64" s="80" t="str">
        <f>AE38</f>
        <v>Netherlands</v>
      </c>
      <c r="I64" s="69"/>
      <c r="J64" s="33" t="str">
        <f>VLOOKUP(2,AD62:AN65,2,FALSE)</f>
        <v>Austria</v>
      </c>
      <c r="K64" s="23">
        <f>L64+M64+N64</f>
        <v>3</v>
      </c>
      <c r="L64" s="23">
        <f>VLOOKUP(2,AD62:AN65,3,FALSE)</f>
        <v>1</v>
      </c>
      <c r="M64" s="23">
        <f>VLOOKUP(2,AD62:AN65,4,FALSE)</f>
        <v>1</v>
      </c>
      <c r="N64" s="23">
        <f>VLOOKUP(2,AD62:AN65,5,FALSE)</f>
        <v>1</v>
      </c>
      <c r="O64" s="23" t="str">
        <f>VLOOKUP(2,AD62:AN65,6,FALSE) &amp; " - " &amp; VLOOKUP(2,AD62:AN65,7,FALSE)</f>
        <v>6 - 6</v>
      </c>
      <c r="P64" s="34">
        <f>L64*3+M64</f>
        <v>4</v>
      </c>
      <c r="R64" s="123">
        <f>DATE(2026,6,25)+TIME(12,0,0)+gmt_delta</f>
        <v>46199</v>
      </c>
      <c r="S64" s="127" t="str">
        <f t="shared" si="19"/>
        <v>Tunisia_lose</v>
      </c>
      <c r="T64" s="127" t="str">
        <f t="shared" si="20"/>
        <v>Netherlands_win</v>
      </c>
      <c r="U64" s="123">
        <f t="shared" si="8"/>
        <v>0</v>
      </c>
      <c r="V64" s="123">
        <f t="shared" si="21"/>
        <v>0</v>
      </c>
      <c r="W64" s="123">
        <f t="shared" si="22"/>
        <v>0</v>
      </c>
      <c r="X64" s="123">
        <f t="shared" si="9"/>
        <v>0</v>
      </c>
      <c r="Y64" s="123">
        <f t="shared" si="10"/>
        <v>0</v>
      </c>
      <c r="Z64" s="123">
        <f t="shared" si="11"/>
        <v>0</v>
      </c>
      <c r="AA64" s="123">
        <f t="shared" si="17"/>
        <v>0</v>
      </c>
      <c r="AB64" s="123">
        <f t="shared" si="23"/>
        <v>-1</v>
      </c>
      <c r="AD64" s="123">
        <f>COUNTIF(AR62:AR65,CONCATENATE("&gt;=",AR64))</f>
        <v>2</v>
      </c>
      <c r="AE64" s="124" t="str">
        <f>VLOOKUP("Austria",T,lang,FALSE)</f>
        <v>Austria</v>
      </c>
      <c r="AF64" s="123">
        <f>COUNTIF($S$7:$T$78,"=" &amp; AE64 &amp; "_win")</f>
        <v>1</v>
      </c>
      <c r="AG64" s="123">
        <f>COUNTIF($S$7:$T$78,"=" &amp; AE64 &amp; "_draw")</f>
        <v>1</v>
      </c>
      <c r="AH64" s="123">
        <f>COUNTIF($S$7:$T$78,"=" &amp; AE64 &amp; "_lose")</f>
        <v>1</v>
      </c>
      <c r="AI64" s="123">
        <f>SUMIF($E$7:$E$78,$AE64,$F$7:$F$78) + SUMIF($H$7:$H$78,$AE64,$G$7:$G$78)</f>
        <v>6</v>
      </c>
      <c r="AJ64" s="123">
        <f>SUMIF($E$7:$E$78,$AE64,$G$7:$G$78) + SUMIF($H$7:$H$78,$AE64,$F$7:$F$78)</f>
        <v>6</v>
      </c>
      <c r="AL64" s="123">
        <f>AI64-AJ64</f>
        <v>0</v>
      </c>
      <c r="AM64" s="123">
        <f>AL64-AL66</f>
        <v>5</v>
      </c>
      <c r="AN64" s="123">
        <f>AF64*3+AG64</f>
        <v>4</v>
      </c>
      <c r="AO64" s="123">
        <f>AN64/AN66*10+BA64</f>
        <v>4.9806763285024154</v>
      </c>
      <c r="AP64" s="123">
        <f>AO64*10000000+BI64*100+AM64/AM66*10+AI64/AI66*1++IF(AQ64=0,ROW(),AQ64)/2000000</f>
        <v>49806865.866274238</v>
      </c>
      <c r="AQ64" s="126">
        <f>VLOOKUP(AE64,db_fifarank,2,FALSE)</f>
        <v>1593.45</v>
      </c>
      <c r="AR64" s="125">
        <f>AP64/AP66</f>
        <v>0.55340955235589373</v>
      </c>
      <c r="AT64" s="126" cm="1">
        <f t="array" ref="AT64">SUMPRODUCT(($S$7:$S$78=AE64&amp;"_win")*($U$7:$U$78))+SUMPRODUCT(($T$7:$T$78=AE64&amp;"_win")*($U$7:$U$78))</f>
        <v>0</v>
      </c>
      <c r="AU64" s="126" cm="1">
        <f t="array" ref="AU64">SUMPRODUCT(($S$7:$S$78=AE64&amp;"_draw")*($U$7:$U$78))+SUMPRODUCT(($T$7:$T$78=AE64&amp;"_draw")*($U$7:$U$78))</f>
        <v>1</v>
      </c>
      <c r="AV64" s="126" cm="1">
        <f t="array" ref="AV64">SUMPRODUCT(($E$7:$E$78=AE64)*($U$7:$U$78)*($F$7:$F$78))+SUMPRODUCT(($H$7:$H$78=AE64)*($U$7:$U$78)*($G$7:$G$78))</f>
        <v>3</v>
      </c>
      <c r="AW64" s="126" cm="1">
        <f t="array" ref="AW64">SUMPRODUCT(($E$7:$E$78=AE64)*($U$7:$U$78)*($G$7:$G$78))+SUMPRODUCT(($H$7:$H$78=AE64)*($U$7:$U$78)*($F$7:$F$78))</f>
        <v>3</v>
      </c>
      <c r="AX64" s="126">
        <f>AV64-AW64</f>
        <v>0</v>
      </c>
      <c r="AY64" s="126">
        <f>AX64-MIN(AX62:AX65)</f>
        <v>0</v>
      </c>
      <c r="AZ64" s="126">
        <f>AT64/AT66*1000+AU64/AU66*100+AY64/AY66*10+AV64/AV66</f>
        <v>50.75</v>
      </c>
      <c r="BA64" s="126">
        <f>AZ64/AZ66</f>
        <v>0.98067632850241548</v>
      </c>
      <c r="BB64" s="126" cm="1">
        <f t="array" ref="BB64">SUMPRODUCT(($S$7:$S$78=AE64&amp;"_win")*($X$7:$X$78))+SUMPRODUCT(($T$7:$T$78=AE64&amp;"_win")*($X$7:$X$78))</f>
        <v>0</v>
      </c>
      <c r="BC64" s="126" cm="1">
        <f t="array" ref="BC64">SUMPRODUCT(($S$7:$S$78=AE64&amp;"_draw")*($X$7:$X$78))+SUMPRODUCT(($T$7:$T$78=AE64&amp;"_draw")*($X$7:$X$78))</f>
        <v>1</v>
      </c>
      <c r="BD64" s="126" cm="1">
        <f t="array" ref="BD64">SUMPRODUCT(($E$7:$E$78=AE64)*($X$7:$X$78)*($F$7:$F$78))+SUMPRODUCT(($H$7:$H$78=AE64)*($X$7:$X$78)*($G$7:$G$78))</f>
        <v>3</v>
      </c>
      <c r="BE64" s="126" cm="1">
        <f t="array" ref="BE64">SUMPRODUCT(($E$7:$E$78=AE64)*($X$7:$X$78)*($G$7:$G$78))+SUMPRODUCT(($H$7:$H$78=AE64)*($X$7:$X$78)*($F$7:$F$78))</f>
        <v>3</v>
      </c>
      <c r="BF64" s="126">
        <f>BD64-BE64</f>
        <v>0</v>
      </c>
      <c r="BG64" s="126">
        <f>BF64-MIN(BF62:BF65)</f>
        <v>0</v>
      </c>
      <c r="BH64" s="126">
        <f>BB64/BB66*1000+BC64/BC66*100+BG64/BG66*10+BD64/BD66</f>
        <v>50.75</v>
      </c>
      <c r="BI64" s="126">
        <f>BH64/BH66</f>
        <v>0.98067632850241548</v>
      </c>
      <c r="BK64" s="21"/>
      <c r="BL64" s="21"/>
      <c r="BM64" s="21"/>
      <c r="BN64" s="21"/>
      <c r="BO64" s="21"/>
      <c r="BP64" s="112"/>
      <c r="BQ64" s="112"/>
      <c r="BR64" s="21"/>
      <c r="BS64" s="21"/>
      <c r="BT64" s="21"/>
      <c r="BU64" s="21"/>
      <c r="BV64" s="21"/>
      <c r="BW64" s="114"/>
      <c r="BX64" s="112"/>
      <c r="BY64" s="131">
        <v>100</v>
      </c>
      <c r="BZ64" s="24" t="str">
        <f>IF(BW60&gt;BW61,BS60,IF(BW60&lt;BW61,BS61,""))</f>
        <v>Argentina</v>
      </c>
      <c r="CA64" s="61">
        <v>1</v>
      </c>
      <c r="CB64" s="63">
        <v>3</v>
      </c>
      <c r="CC64" s="25"/>
      <c r="CD64" s="116">
        <f>IF(OR(CA64="",CA65="",AND(CB64="",CB65&lt;&gt;""),AND(CB65="",CB64&lt;&gt;""),AND(CC64="",CC65&lt;&gt;""),AND(CC65="",CC64&lt;&gt;"")),"",CA64*1000+CB64*10+CC64)</f>
        <v>1030</v>
      </c>
    </row>
    <row r="65" spans="1:95" x14ac:dyDescent="0.25">
      <c r="A65" s="16">
        <v>59</v>
      </c>
      <c r="B65" s="17" t="str" cm="1">
        <f t="array" ref="B65">INDEX(T,18+INT(MOD(R65-1,7)),lang)</f>
        <v>Fri</v>
      </c>
      <c r="C65" s="18" t="str" cm="1">
        <f t="array" ref="C65">INDEX(T,24+MONTH(R65),lang) &amp; " " &amp; DAY(R65) &amp; ", " &amp; YEAR(R65)</f>
        <v>Jun 26, 2026</v>
      </c>
      <c r="D65" s="120">
        <f t="shared" si="7"/>
        <v>0.125</v>
      </c>
      <c r="E65" s="78" t="str">
        <f>AE29</f>
        <v>Turkey</v>
      </c>
      <c r="F65" s="19">
        <v>3</v>
      </c>
      <c r="G65" s="20">
        <v>2</v>
      </c>
      <c r="H65" s="80" t="str">
        <f>AE26</f>
        <v>United States</v>
      </c>
      <c r="I65" s="69"/>
      <c r="J65" s="33" t="str">
        <f>VLOOKUP(3,AD62:AN65,2,FALSE)</f>
        <v>Algeria</v>
      </c>
      <c r="K65" s="23">
        <f>L65+M65+N65</f>
        <v>3</v>
      </c>
      <c r="L65" s="23">
        <f>VLOOKUP(3,AD62:AN65,3,FALSE)</f>
        <v>1</v>
      </c>
      <c r="M65" s="23">
        <f>VLOOKUP(3,AD62:AN65,4,FALSE)</f>
        <v>1</v>
      </c>
      <c r="N65" s="23">
        <f>VLOOKUP(3,AD62:AN65,5,FALSE)</f>
        <v>1</v>
      </c>
      <c r="O65" s="23" t="str">
        <f>VLOOKUP(3,AD62:AN65,6,FALSE) &amp; " - " &amp; VLOOKUP(3,AD62:AN65,7,FALSE)</f>
        <v>5 - 7</v>
      </c>
      <c r="P65" s="34">
        <f>L65*3+M65</f>
        <v>4</v>
      </c>
      <c r="R65" s="123">
        <f>DATE(2026,6,25)+TIME(15,0,0)+gmt_delta</f>
        <v>46199.125</v>
      </c>
      <c r="S65" s="127" t="str">
        <f t="shared" si="19"/>
        <v>Turkey_win</v>
      </c>
      <c r="T65" s="127" t="str">
        <f t="shared" si="20"/>
        <v>United States_lose</v>
      </c>
      <c r="U65" s="123">
        <f t="shared" si="8"/>
        <v>0</v>
      </c>
      <c r="V65" s="123">
        <f t="shared" si="21"/>
        <v>0</v>
      </c>
      <c r="W65" s="123">
        <f t="shared" si="22"/>
        <v>0</v>
      </c>
      <c r="X65" s="123">
        <f t="shared" si="9"/>
        <v>0</v>
      </c>
      <c r="Y65" s="123">
        <f t="shared" si="10"/>
        <v>0</v>
      </c>
      <c r="Z65" s="123">
        <f t="shared" si="11"/>
        <v>0</v>
      </c>
      <c r="AA65" s="123">
        <f t="shared" si="17"/>
        <v>0</v>
      </c>
      <c r="AB65" s="123">
        <f t="shared" si="23"/>
        <v>1</v>
      </c>
      <c r="AD65" s="123">
        <f>COUNTIF(AR62:AR65,CONCATENATE("&gt;=",AR65))</f>
        <v>4</v>
      </c>
      <c r="AE65" s="124" t="str">
        <f>VLOOKUP("Jordan",T,lang,FALSE)</f>
        <v>Jordan</v>
      </c>
      <c r="AF65" s="123">
        <f>COUNTIF($S$7:$T$78,"=" &amp; AE65 &amp; "_win")</f>
        <v>0</v>
      </c>
      <c r="AG65" s="123">
        <f>COUNTIF($S$7:$T$78,"=" &amp; AE65 &amp; "_draw")</f>
        <v>0</v>
      </c>
      <c r="AH65" s="123">
        <f>COUNTIF($S$7:$T$78,"=" &amp; AE65 &amp; "_lose")</f>
        <v>3</v>
      </c>
      <c r="AI65" s="123">
        <f>SUMIF($E$7:$E$78,$AE65,$F$7:$F$78) + SUMIF($H$7:$H$78,$AE65,$G$7:$G$78)</f>
        <v>3</v>
      </c>
      <c r="AJ65" s="123">
        <f>SUMIF($E$7:$E$78,$AE65,$G$7:$G$78) + SUMIF($H$7:$H$78,$AE65,$F$7:$F$78)</f>
        <v>8</v>
      </c>
      <c r="AL65" s="123">
        <f>AI65-AJ65</f>
        <v>-5</v>
      </c>
      <c r="AM65" s="123">
        <f>AL65-AL66</f>
        <v>0</v>
      </c>
      <c r="AN65" s="123">
        <f>AF65*3+AG65</f>
        <v>0</v>
      </c>
      <c r="AO65" s="123">
        <f>AN65/AN66*10+BA65</f>
        <v>0</v>
      </c>
      <c r="AP65" s="123">
        <f>AO65*10000000+BI65*100+AM65/AM66*10+AI65/AI66*1++IF(AQ65=0,ROW(),AQ65)/2000000</f>
        <v>0.3340290583333333</v>
      </c>
      <c r="AQ65" s="126">
        <f>VLOOKUP(AE65,db_fifarank,2,FALSE)</f>
        <v>1391.45</v>
      </c>
      <c r="AR65" s="125">
        <f>AP65/AP66</f>
        <v>3.7114335228886911E-9</v>
      </c>
      <c r="AT65" s="126" cm="1">
        <f t="array" ref="AT65">SUMPRODUCT(($S$7:$S$78=AE65&amp;"_win")*($U$7:$U$78))+SUMPRODUCT(($T$7:$T$78=AE65&amp;"_win")*($U$7:$U$78))</f>
        <v>0</v>
      </c>
      <c r="AU65" s="126" cm="1">
        <f t="array" ref="AU65">SUMPRODUCT(($S$7:$S$78=AE65&amp;"_draw")*($U$7:$U$78))+SUMPRODUCT(($T$7:$T$78=AE65&amp;"_draw")*($U$7:$U$78))</f>
        <v>0</v>
      </c>
      <c r="AV65" s="126" cm="1">
        <f t="array" ref="AV65">SUMPRODUCT(($E$7:$E$78=AE65)*($U$7:$U$78)*($F$7:$F$78))+SUMPRODUCT(($H$7:$H$78=AE65)*($U$7:$U$78)*($G$7:$G$78))</f>
        <v>0</v>
      </c>
      <c r="AW65" s="126" cm="1">
        <f t="array" ref="AW65">SUMPRODUCT(($E$7:$E$78=AE65)*($U$7:$U$78)*($G$7:$G$78))+SUMPRODUCT(($H$7:$H$78=AE65)*($U$7:$U$78)*($F$7:$F$78))</f>
        <v>0</v>
      </c>
      <c r="AX65" s="126">
        <f>AV65-AW65</f>
        <v>0</v>
      </c>
      <c r="AY65" s="126">
        <f>AX65-MIN(AX62:AX65)</f>
        <v>0</v>
      </c>
      <c r="AZ65" s="126">
        <f>AT65/AT66*1000+AU65/AU66*100+AY65/AY66*10+AV65/AV66</f>
        <v>0</v>
      </c>
      <c r="BA65" s="126">
        <f>AZ65/AZ66</f>
        <v>0</v>
      </c>
      <c r="BB65" s="126" cm="1">
        <f t="array" ref="BB65">SUMPRODUCT(($S$7:$S$78=AE65&amp;"_win")*($X$7:$X$78))+SUMPRODUCT(($T$7:$T$78=AE65&amp;"_win")*($X$7:$X$78))</f>
        <v>0</v>
      </c>
      <c r="BC65" s="126" cm="1">
        <f t="array" ref="BC65">SUMPRODUCT(($S$7:$S$78=AE65&amp;"_draw")*($X$7:$X$78))+SUMPRODUCT(($T$7:$T$78=AE65&amp;"_draw")*($X$7:$X$78))</f>
        <v>0</v>
      </c>
      <c r="BD65" s="126" cm="1">
        <f t="array" ref="BD65">SUMPRODUCT(($E$7:$E$78=AE65)*($X$7:$X$78)*($F$7:$F$78))+SUMPRODUCT(($H$7:$H$78=AE65)*($X$7:$X$78)*($G$7:$G$78))</f>
        <v>0</v>
      </c>
      <c r="BE65" s="126" cm="1">
        <f t="array" ref="BE65">SUMPRODUCT(($E$7:$E$78=AE65)*($X$7:$X$78)*($G$7:$G$78))+SUMPRODUCT(($H$7:$H$78=AE65)*($X$7:$X$78)*($F$7:$F$78))</f>
        <v>0</v>
      </c>
      <c r="BF65" s="126">
        <f>BD65-BE65</f>
        <v>0</v>
      </c>
      <c r="BG65" s="126">
        <f>BF65-MIN(BF62:BF65)</f>
        <v>0</v>
      </c>
      <c r="BH65" s="126">
        <f>BB65/BB66*1000+BC65/BC66*100+BG65/BG66*10+BD65/BD66</f>
        <v>0</v>
      </c>
      <c r="BI65" s="126">
        <f>BH65/BH66</f>
        <v>0</v>
      </c>
      <c r="BK65" s="21" t="str" cm="1">
        <f t="array" ref="BK65">INDEX(T,24+MONTH(BP65),lang) &amp; " " &amp; DAY(BP65) &amp; ", " &amp; YEAR(BP65) &amp; "   " &amp; (IF(HOUR(BP65)&lt;10,0,"")&amp;HOUR(BP65)) &amp; ":" &amp;  (IF(MINUTE(BP65)&lt;10,0,"")&amp;MINUTE(BP65))</f>
        <v>Jul 3, 2026   04:00</v>
      </c>
      <c r="BL65" s="21"/>
      <c r="BM65" s="21"/>
      <c r="BN65" s="21"/>
      <c r="BO65" s="28"/>
      <c r="BP65" s="112">
        <f>DATE(2026,7,2)+TIME(16,0,0)+gmt_delta</f>
        <v>46206.166666666664</v>
      </c>
      <c r="BQ65" s="112"/>
      <c r="BR65" s="21"/>
      <c r="BS65" s="21"/>
      <c r="BT65" s="21"/>
      <c r="BU65" s="21"/>
      <c r="BV65" s="21"/>
      <c r="BW65" s="114"/>
      <c r="BX65" s="115"/>
      <c r="BY65" s="132"/>
      <c r="BZ65" s="26" t="str">
        <f>IF(BW68&gt;BW69,BS68,IF(BW68&lt;BW69,BS69,""))</f>
        <v>Switzerland</v>
      </c>
      <c r="CA65" s="62">
        <v>1</v>
      </c>
      <c r="CB65" s="64">
        <v>1</v>
      </c>
      <c r="CC65" s="27"/>
      <c r="CD65" s="112">
        <f>IF(CD64="","",CA65*1000+CB65*10+CC65)</f>
        <v>1010</v>
      </c>
    </row>
    <row r="66" spans="1:95" x14ac:dyDescent="0.25">
      <c r="A66" s="16">
        <v>60</v>
      </c>
      <c r="B66" s="17" t="str" cm="1">
        <f t="array" ref="B66">INDEX(T,18+INT(MOD(R66-1,7)),lang)</f>
        <v>Fri</v>
      </c>
      <c r="C66" s="18" t="str" cm="1">
        <f t="array" ref="C66">INDEX(T,24+MONTH(R66),lang) &amp; " " &amp; DAY(R66) &amp; ", " &amp; YEAR(R66)</f>
        <v>Jun 26, 2026</v>
      </c>
      <c r="D66" s="120">
        <f t="shared" si="7"/>
        <v>0.125</v>
      </c>
      <c r="E66" s="78" t="str">
        <f>AE27</f>
        <v>Paraguay</v>
      </c>
      <c r="F66" s="19">
        <v>0</v>
      </c>
      <c r="G66" s="20">
        <v>0</v>
      </c>
      <c r="H66" s="80" t="str">
        <f>AE28</f>
        <v>Australia</v>
      </c>
      <c r="I66" s="69"/>
      <c r="J66" s="35" t="str">
        <f>VLOOKUP(4,AD62:AN65,2,FALSE)</f>
        <v>Jordan</v>
      </c>
      <c r="K66" s="36">
        <f>L66+M66+N66</f>
        <v>3</v>
      </c>
      <c r="L66" s="36">
        <f>VLOOKUP(4,AD62:AN65,3,FALSE)</f>
        <v>0</v>
      </c>
      <c r="M66" s="36">
        <f>VLOOKUP(4,AD62:AN65,4,FALSE)</f>
        <v>0</v>
      </c>
      <c r="N66" s="36">
        <f>VLOOKUP(4,AD62:AN65,5,FALSE)</f>
        <v>3</v>
      </c>
      <c r="O66" s="36" t="str">
        <f>VLOOKUP(4,AD62:AN65,6,FALSE) &amp; " - " &amp; VLOOKUP(4,AD62:AN65,7,FALSE)</f>
        <v>3 - 8</v>
      </c>
      <c r="P66" s="37">
        <f>L66*3+M66</f>
        <v>0</v>
      </c>
      <c r="R66" s="123">
        <f>DATE(2026,6,25)+TIME(15,0,0)+gmt_delta</f>
        <v>46199.125</v>
      </c>
      <c r="S66" s="127" t="str">
        <f t="shared" si="19"/>
        <v>Paraguay_draw</v>
      </c>
      <c r="T66" s="127" t="str">
        <f t="shared" si="20"/>
        <v>Australia_draw</v>
      </c>
      <c r="U66" s="123">
        <f t="shared" si="8"/>
        <v>1</v>
      </c>
      <c r="V66" s="123">
        <f t="shared" si="21"/>
        <v>0</v>
      </c>
      <c r="W66" s="123">
        <f t="shared" si="22"/>
        <v>0</v>
      </c>
      <c r="X66" s="123">
        <f t="shared" si="9"/>
        <v>1</v>
      </c>
      <c r="Y66" s="123">
        <f t="shared" si="10"/>
        <v>0</v>
      </c>
      <c r="Z66" s="123">
        <f t="shared" si="11"/>
        <v>0</v>
      </c>
      <c r="AA66" s="123">
        <f t="shared" si="17"/>
        <v>0</v>
      </c>
      <c r="AB66" s="123">
        <f t="shared" si="23"/>
        <v>0</v>
      </c>
      <c r="AF66" s="123">
        <f t="shared" ref="AF66:AH66" si="28">MAX(AF62:AF65)-MIN(AF62:AF65)+1</f>
        <v>4</v>
      </c>
      <c r="AG66" s="123">
        <f t="shared" si="28"/>
        <v>2</v>
      </c>
      <c r="AH66" s="123">
        <f t="shared" si="28"/>
        <v>4</v>
      </c>
      <c r="AI66" s="123">
        <f>MAX(AI62:AI65)+1</f>
        <v>9</v>
      </c>
      <c r="AL66" s="123">
        <f>MIN(AL62:AL65)</f>
        <v>-5</v>
      </c>
      <c r="AM66" s="123">
        <f>MAX(AM62:AM65)+1</f>
        <v>13</v>
      </c>
      <c r="AN66" s="123">
        <f>MAX(AN62:AN65)+1</f>
        <v>10</v>
      </c>
      <c r="AO66" s="123">
        <f>MAX(AO62:AO65)+1</f>
        <v>10</v>
      </c>
      <c r="AP66" s="123">
        <f>MAX(AP62:AP65)+1</f>
        <v>90000011.120595545</v>
      </c>
      <c r="AT66" s="126">
        <f>MAX(AT62:AT65)-MIN(AT62:AT65)+1</f>
        <v>1</v>
      </c>
      <c r="AU66" s="126">
        <f>MAX(AU62:AU65)-MIN(AU62:AU65)+1</f>
        <v>2</v>
      </c>
      <c r="AV66" s="126">
        <f>MAX(AV62:AV65)-MIN(AV62:AV65)+1</f>
        <v>4</v>
      </c>
      <c r="AW66" s="126">
        <f>MAX(AW62:AW65)-MIN(AW62:AW65)+1</f>
        <v>4</v>
      </c>
      <c r="AY66" s="126">
        <f>MAX(AY62:AY65)-MIN(AY62:AY65)+1</f>
        <v>1</v>
      </c>
      <c r="AZ66" s="126">
        <f>MAX(AZ62:AZ65)+1</f>
        <v>51.75</v>
      </c>
      <c r="BB66" s="126">
        <f>MAX(BB62:BB65)-MIN(BB62:BB65)+1</f>
        <v>1</v>
      </c>
      <c r="BC66" s="126">
        <f>MAX(BC62:BC65)-MIN(BC62:BC65)+1</f>
        <v>2</v>
      </c>
      <c r="BD66" s="126">
        <f>MAX(BD62:BD65)-MIN(BD62:BD65)+1</f>
        <v>4</v>
      </c>
      <c r="BE66" s="126">
        <f>MAX(BE62:BE65)-MIN(BE62:BE65)+1</f>
        <v>4</v>
      </c>
      <c r="BG66" s="126">
        <f>MAX(BG62:BG65)-MIN(BG62:BG65)+1</f>
        <v>1</v>
      </c>
      <c r="BH66" s="126">
        <f>MAX(BH62:BH65)+1</f>
        <v>51.75</v>
      </c>
      <c r="BK66" s="131">
        <v>85</v>
      </c>
      <c r="BL66" s="24" t="str">
        <f>AS14</f>
        <v>Switzerland</v>
      </c>
      <c r="BM66" s="61">
        <v>2</v>
      </c>
      <c r="BN66" s="63"/>
      <c r="BO66" s="25"/>
      <c r="BP66" s="112">
        <f>IF(OR(BM66="",BM67="",AND(BN66="",BN67&lt;&gt;""),AND(BN67="",BN66&lt;&gt;""),AND(BO66="",BO67&lt;&gt;""),AND(BO67="",BO66&lt;&gt;"")),"",BM66*1000+BN66*10+BO66)</f>
        <v>2000</v>
      </c>
      <c r="BQ66" s="112"/>
      <c r="BR66" s="21"/>
      <c r="BS66" s="21"/>
      <c r="BT66" s="21"/>
      <c r="BU66" s="21"/>
      <c r="BV66" s="21"/>
      <c r="BW66" s="114"/>
    </row>
    <row r="67" spans="1:95" x14ac:dyDescent="0.25">
      <c r="A67" s="16">
        <v>61</v>
      </c>
      <c r="B67" s="17" t="str" cm="1">
        <f t="array" ref="B67">INDEX(T,18+INT(MOD(R67-1,7)),lang)</f>
        <v>Fri</v>
      </c>
      <c r="C67" s="18" t="str" cm="1">
        <f t="array" ref="C67">INDEX(T,24+MONTH(R67),lang) &amp; " " &amp; DAY(R67) &amp; ", " &amp; YEAR(R67)</f>
        <v>Jun 26, 2026</v>
      </c>
      <c r="D67" s="120">
        <f t="shared" si="7"/>
        <v>0.83333333333333337</v>
      </c>
      <c r="E67" s="78" t="str">
        <f>AE59</f>
        <v>Norway</v>
      </c>
      <c r="F67" s="19">
        <v>1</v>
      </c>
      <c r="G67" s="20">
        <v>4</v>
      </c>
      <c r="H67" s="80" t="str">
        <f>AE56</f>
        <v>France</v>
      </c>
      <c r="I67" s="69"/>
      <c r="J67" s="72"/>
      <c r="K67" s="70"/>
      <c r="L67" s="70"/>
      <c r="M67" s="70"/>
      <c r="N67" s="70"/>
      <c r="O67" s="70"/>
      <c r="P67" s="70"/>
      <c r="R67" s="123">
        <f>DATE(2026,6,26)+TIME(8,0,0)+gmt_delta</f>
        <v>46199.833333333336</v>
      </c>
      <c r="S67" s="127" t="str">
        <f t="shared" si="19"/>
        <v>Norway_lose</v>
      </c>
      <c r="T67" s="127" t="str">
        <f t="shared" si="20"/>
        <v>France_win</v>
      </c>
      <c r="U67" s="123">
        <f t="shared" si="8"/>
        <v>0</v>
      </c>
      <c r="V67" s="123">
        <f t="shared" si="21"/>
        <v>0</v>
      </c>
      <c r="W67" s="123">
        <f t="shared" si="22"/>
        <v>0</v>
      </c>
      <c r="X67" s="123">
        <f t="shared" si="9"/>
        <v>0</v>
      </c>
      <c r="Y67" s="123">
        <f t="shared" si="10"/>
        <v>0</v>
      </c>
      <c r="Z67" s="123">
        <f t="shared" si="11"/>
        <v>0</v>
      </c>
      <c r="AA67" s="123">
        <f t="shared" si="17"/>
        <v>0</v>
      </c>
      <c r="AB67" s="123">
        <f t="shared" si="23"/>
        <v>-1</v>
      </c>
      <c r="BK67" s="132"/>
      <c r="BL67" s="26" t="str">
        <f>IF(group_round_completed,VLOOKUP('3rd places'!E3,AK80:AS91,9,FALSE),"3rd Group E/F/G/I/J")</f>
        <v>Algeria</v>
      </c>
      <c r="BM67" s="62">
        <v>0</v>
      </c>
      <c r="BN67" s="64"/>
      <c r="BO67" s="27"/>
      <c r="BP67" s="113">
        <f>IF(BP66="","",BM67*1000+BN67*10+BO67)</f>
        <v>0</v>
      </c>
      <c r="BQ67" s="112"/>
      <c r="BR67" s="21" t="str" cm="1">
        <f t="array" ref="BR67">INDEX(T,24+MONTH(BW67),lang) &amp; " " &amp; DAY(BW67) &amp; ", " &amp; YEAR(BW67) &amp; "   " &amp; (IF(HOUR(BW67)&lt;10,0,"")&amp;HOUR(BW67)) &amp; ":" &amp;  (IF(MINUTE(BW67)&lt;10,0,"")&amp;MINUTE(BW67))</f>
        <v>Jul 7, 2026   21:00</v>
      </c>
      <c r="BS67" s="21"/>
      <c r="BT67" s="21"/>
      <c r="BU67" s="21"/>
      <c r="BV67" s="28"/>
      <c r="BW67" s="114">
        <f>DATE(2026,7,7)+TIME(9,0,0)+gmt_delta</f>
        <v>46210.875</v>
      </c>
    </row>
    <row r="68" spans="1:95" x14ac:dyDescent="0.25">
      <c r="A68" s="16">
        <v>62</v>
      </c>
      <c r="B68" s="17" t="str" cm="1">
        <f t="array" ref="B68">INDEX(T,18+INT(MOD(R68-1,7)),lang)</f>
        <v>Fri</v>
      </c>
      <c r="C68" s="18" t="str" cm="1">
        <f t="array" ref="C68">INDEX(T,24+MONTH(R68),lang) &amp; " " &amp; DAY(R68) &amp; ", " &amp; YEAR(R68)</f>
        <v>Jun 26, 2026</v>
      </c>
      <c r="D68" s="120">
        <f t="shared" si="7"/>
        <v>0.83333333333333337</v>
      </c>
      <c r="E68" s="78" t="str">
        <f>AE57</f>
        <v>Senegal</v>
      </c>
      <c r="F68" s="19">
        <v>5</v>
      </c>
      <c r="G68" s="20">
        <v>0</v>
      </c>
      <c r="H68" s="80" t="str">
        <f>AE58</f>
        <v>Iraq</v>
      </c>
      <c r="I68" s="69"/>
      <c r="J68" s="38" t="str" cm="1">
        <f t="array" ref="J68">INDEX(T,9,lang) &amp; " " &amp; "K"</f>
        <v>Group K</v>
      </c>
      <c r="K68" s="94" t="str" cm="1">
        <f t="array" ref="K68">INDEX(T,10,lang)</f>
        <v>PL</v>
      </c>
      <c r="L68" s="94" t="str" cm="1">
        <f t="array" ref="L68">INDEX(T,11,lang)</f>
        <v>W</v>
      </c>
      <c r="M68" s="94" t="str" cm="1">
        <f t="array" ref="M68">INDEX(T,12,lang)</f>
        <v>DRAW</v>
      </c>
      <c r="N68" s="94" t="str" cm="1">
        <f t="array" ref="N68">INDEX(T,13,lang)</f>
        <v>L</v>
      </c>
      <c r="O68" s="94" t="str" cm="1">
        <f t="array" ref="O68">INDEX(T,14,lang)</f>
        <v>GF - GA</v>
      </c>
      <c r="P68" s="95" t="str" cm="1">
        <f t="array" ref="P68">INDEX(T,15,lang)</f>
        <v>PNT</v>
      </c>
      <c r="R68" s="123">
        <f>DATE(2026,6,26)+TIME(8,0,0)+gmt_delta</f>
        <v>46199.833333333336</v>
      </c>
      <c r="S68" s="127" t="str">
        <f t="shared" si="19"/>
        <v>Senegal_win</v>
      </c>
      <c r="T68" s="127" t="str">
        <f t="shared" si="20"/>
        <v>Iraq_lose</v>
      </c>
      <c r="U68" s="123">
        <f t="shared" si="8"/>
        <v>0</v>
      </c>
      <c r="V68" s="123">
        <f t="shared" si="21"/>
        <v>0</v>
      </c>
      <c r="W68" s="123">
        <f t="shared" si="22"/>
        <v>0</v>
      </c>
      <c r="X68" s="123">
        <f t="shared" si="9"/>
        <v>0</v>
      </c>
      <c r="Y68" s="123">
        <f t="shared" si="10"/>
        <v>0</v>
      </c>
      <c r="Z68" s="123">
        <f t="shared" si="11"/>
        <v>0</v>
      </c>
      <c r="AA68" s="123">
        <f t="shared" si="17"/>
        <v>0</v>
      </c>
      <c r="AB68" s="123">
        <f t="shared" si="23"/>
        <v>1</v>
      </c>
      <c r="AD68" s="123">
        <f>COUNTIF(AR68:AR71,CONCATENATE("&gt;=",AR68))</f>
        <v>2</v>
      </c>
      <c r="AE68" s="124" t="str">
        <f>VLOOKUP("Portugal",T,lang,FALSE)</f>
        <v>Portugal</v>
      </c>
      <c r="AF68" s="123">
        <f>COUNTIF($S$7:$T$78,"=" &amp; AE68 &amp; "_win")</f>
        <v>1</v>
      </c>
      <c r="AG68" s="123">
        <f>COUNTIF($S$7:$T$78,"=" &amp; AE68 &amp; "_draw")</f>
        <v>2</v>
      </c>
      <c r="AH68" s="123">
        <f>COUNTIF($S$7:$T$78,"=" &amp; AE68 &amp; "_lose")</f>
        <v>0</v>
      </c>
      <c r="AI68" s="123">
        <f>SUMIF($E$7:$E$78,$AE68,$F$7:$F$78) + SUMIF($H$7:$H$78,$AE68,$G$7:$G$78)</f>
        <v>6</v>
      </c>
      <c r="AJ68" s="123">
        <f>SUMIF($E$7:$E$78,$AE68,$G$7:$G$78) + SUMIF($H$7:$H$78,$AE68,$F$7:$F$78)</f>
        <v>1</v>
      </c>
      <c r="AL68" s="123">
        <f>AI68-AJ68</f>
        <v>5</v>
      </c>
      <c r="AM68" s="123">
        <f>AL68-AL72</f>
        <v>14</v>
      </c>
      <c r="AN68" s="123">
        <f>AF68*3+AG68</f>
        <v>5</v>
      </c>
      <c r="AO68" s="123">
        <f>AN68/AN72*10+BA68</f>
        <v>6.25</v>
      </c>
      <c r="AP68" s="123">
        <f>AO68*10000000+BI68*100+AM68/AM72*10+AI68/AI72*1++IF(AQ68=0,ROW(),AQ68)/2000000</f>
        <v>62500010.191358112</v>
      </c>
      <c r="AQ68" s="126">
        <f>VLOOKUP(AE68,db_fifarank,2,FALSE)</f>
        <v>1763.83</v>
      </c>
      <c r="AR68" s="125">
        <f>AP68/AP72</f>
        <v>0.71428575261735283</v>
      </c>
      <c r="AS68" s="125" t="str">
        <f>IF(SUM(AF68:AH71)=12,J69,"1K")</f>
        <v>Colombia</v>
      </c>
      <c r="AT68" s="126" cm="1">
        <f t="array" ref="AT68">SUMPRODUCT(($S$7:$S$78=AE68&amp;"_win")*($U$7:$U$78))+SUMPRODUCT(($T$7:$T$78=AE68&amp;"_win")*($U$7:$U$78))</f>
        <v>0</v>
      </c>
      <c r="AU68" s="126" cm="1">
        <f t="array" ref="AU68">SUMPRODUCT(($S$7:$S$78=AE68&amp;"_draw")*($U$7:$U$78))+SUMPRODUCT(($T$7:$T$78=AE68&amp;"_draw")*($U$7:$U$78))</f>
        <v>0</v>
      </c>
      <c r="AV68" s="126" cm="1">
        <f t="array" ref="AV68">SUMPRODUCT(($E$7:$E$78=AE68)*($U$7:$U$78)*($F$7:$F$78))+SUMPRODUCT(($H$7:$H$78=AE68)*($U$7:$U$78)*($G$7:$G$78))</f>
        <v>0</v>
      </c>
      <c r="AW68" s="126" cm="1">
        <f t="array" ref="AW68">SUMPRODUCT(($E$7:$E$78=AE68)*($U$7:$U$78)*($G$7:$G$78))+SUMPRODUCT(($H$7:$H$78=AE68)*($U$7:$U$78)*($F$7:$F$78))</f>
        <v>0</v>
      </c>
      <c r="AX68" s="126">
        <f>AV68-AW68</f>
        <v>0</v>
      </c>
      <c r="AY68" s="126">
        <f>AX68-MIN(AX68:AX71)</f>
        <v>0</v>
      </c>
      <c r="AZ68" s="126">
        <f>AT68/AT72*1000+AU68/AU72*100+AY68/AY72*10+AV68/AV72</f>
        <v>0</v>
      </c>
      <c r="BA68" s="126">
        <f>AZ68/AZ72</f>
        <v>0</v>
      </c>
      <c r="BB68" s="126" cm="1">
        <f t="array" ref="BB68">SUMPRODUCT(($S$7:$S$78=AE68&amp;"_win")*($X$7:$X$78))+SUMPRODUCT(($T$7:$T$78=AE68&amp;"_win")*($X$7:$X$78))</f>
        <v>0</v>
      </c>
      <c r="BC68" s="126" cm="1">
        <f t="array" ref="BC68">SUMPRODUCT(($S$7:$S$78=AE68&amp;"_draw")*($X$7:$X$78))+SUMPRODUCT(($T$7:$T$78=AE68&amp;"_draw")*($X$7:$X$78))</f>
        <v>0</v>
      </c>
      <c r="BD68" s="126" cm="1">
        <f t="array" ref="BD68">SUMPRODUCT(($E$7:$E$78=AE68)*($X$7:$X$78)*($F$7:$F$78))+SUMPRODUCT(($H$7:$H$78=AE68)*($X$7:$X$78)*($G$7:$G$78))</f>
        <v>0</v>
      </c>
      <c r="BE68" s="126" cm="1">
        <f t="array" ref="BE68">SUMPRODUCT(($E$7:$E$78=AE68)*($X$7:$X$78)*($G$7:$G$78))+SUMPRODUCT(($H$7:$H$78=AE68)*($X$7:$X$78)*($F$7:$F$78))</f>
        <v>0</v>
      </c>
      <c r="BF68" s="126">
        <f>BD68-BE68</f>
        <v>0</v>
      </c>
      <c r="BG68" s="126">
        <f>BF68-MIN(BF68:BF71)</f>
        <v>0</v>
      </c>
      <c r="BH68" s="126">
        <f>BB68/BB72*1000+BC68/BC72*100+BG68/BG72*10+BD68/BD72</f>
        <v>0</v>
      </c>
      <c r="BI68" s="126">
        <f>BH68/BH72</f>
        <v>0</v>
      </c>
      <c r="BK68" s="21"/>
      <c r="BL68" s="21"/>
      <c r="BM68" s="21"/>
      <c r="BN68" s="21"/>
      <c r="BO68" s="21"/>
      <c r="BP68" s="114"/>
      <c r="BQ68" s="112"/>
      <c r="BR68" s="131">
        <v>96</v>
      </c>
      <c r="BS68" s="24" t="str">
        <f>IF(BP66&gt;BP67,BL66,IF(BP66&lt;BP67,BL67,""))</f>
        <v>Switzerland</v>
      </c>
      <c r="BT68" s="61">
        <v>0</v>
      </c>
      <c r="BU68" s="63">
        <v>0</v>
      </c>
      <c r="BV68" s="25">
        <v>4</v>
      </c>
      <c r="BW68" s="116">
        <f>IF(OR(BT68="",BT69="",AND(BU68="",BU69&lt;&gt;""),AND(BU69="",BU68&lt;&gt;""),AND(BV68="",BV69&lt;&gt;""),AND(BV69="",BV68&lt;&gt;"")),"",BT68*1000+BU68*10+BV68)</f>
        <v>4</v>
      </c>
      <c r="CE68" s="163" t="str">
        <f>INDEX(T,144,lang)</f>
        <v>World Champion 2026</v>
      </c>
      <c r="CF68" s="163"/>
      <c r="CG68" s="163"/>
      <c r="CH68" s="163"/>
      <c r="CI68" s="163"/>
      <c r="CJ68" s="163"/>
      <c r="CK68" s="153" t="str">
        <f>IF(CR37&gt;CR38,CN37,IF(CR37&lt;CR38,CN38,""))</f>
        <v>Spain</v>
      </c>
      <c r="CL68" s="153"/>
      <c r="CM68" s="153"/>
      <c r="CN68" s="153"/>
      <c r="CO68" s="153"/>
      <c r="CP68" s="153"/>
      <c r="CQ68" s="153"/>
    </row>
    <row r="69" spans="1:95" x14ac:dyDescent="0.25">
      <c r="A69" s="16">
        <v>63</v>
      </c>
      <c r="B69" s="17" t="str" cm="1">
        <f t="array" ref="B69">INDEX(T,18+INT(MOD(R69-1,7)),lang)</f>
        <v>Sat</v>
      </c>
      <c r="C69" s="18" t="str" cm="1">
        <f t="array" ref="C69">INDEX(T,24+MONTH(R69),lang) &amp; " " &amp; DAY(R69) &amp; ", " &amp; YEAR(R69)</f>
        <v>Jun 27, 2026</v>
      </c>
      <c r="D69" s="120">
        <f t="shared" si="7"/>
        <v>0.16666666666666666</v>
      </c>
      <c r="E69" s="78" t="str">
        <f>AE45</f>
        <v>Egypt</v>
      </c>
      <c r="F69" s="19">
        <v>1</v>
      </c>
      <c r="G69" s="20">
        <v>1</v>
      </c>
      <c r="H69" s="80" t="str">
        <f>AE46</f>
        <v>Iran</v>
      </c>
      <c r="I69" s="69"/>
      <c r="J69" s="30" t="str">
        <f>VLOOKUP(1,AD68:AN71,2,FALSE)</f>
        <v>Colombia</v>
      </c>
      <c r="K69" s="31">
        <f>L69+M69+N69</f>
        <v>3</v>
      </c>
      <c r="L69" s="31">
        <f>VLOOKUP(1,AD68:AN71,3,FALSE)</f>
        <v>2</v>
      </c>
      <c r="M69" s="31">
        <f>VLOOKUP(1,AD68:AN71,4,FALSE)</f>
        <v>1</v>
      </c>
      <c r="N69" s="31">
        <f>VLOOKUP(1,AD68:AN71,5,FALSE)</f>
        <v>0</v>
      </c>
      <c r="O69" s="31" t="str">
        <f>VLOOKUP(1,AD68:AN71,6,FALSE) &amp; " - " &amp; VLOOKUP(1,AD68:AN71,7,FALSE)</f>
        <v>4 - 1</v>
      </c>
      <c r="P69" s="32">
        <f>L69*3+M69</f>
        <v>7</v>
      </c>
      <c r="R69" s="123">
        <f>DATE(2026,6,26)+TIME(16,0,0)+gmt_delta</f>
        <v>46200.166666666664</v>
      </c>
      <c r="S69" s="127" t="str">
        <f t="shared" si="19"/>
        <v>Egypt_draw</v>
      </c>
      <c r="T69" s="127" t="str">
        <f t="shared" si="20"/>
        <v>Iran_draw</v>
      </c>
      <c r="U69" s="123">
        <f t="shared" si="8"/>
        <v>0</v>
      </c>
      <c r="V69" s="123">
        <f t="shared" si="21"/>
        <v>0</v>
      </c>
      <c r="W69" s="123">
        <f t="shared" si="22"/>
        <v>0</v>
      </c>
      <c r="X69" s="123">
        <f t="shared" si="9"/>
        <v>0</v>
      </c>
      <c r="Y69" s="123">
        <f t="shared" si="10"/>
        <v>0</v>
      </c>
      <c r="Z69" s="123">
        <f t="shared" si="11"/>
        <v>0</v>
      </c>
      <c r="AA69" s="123">
        <f t="shared" si="17"/>
        <v>0</v>
      </c>
      <c r="AB69" s="123">
        <f t="shared" si="23"/>
        <v>0</v>
      </c>
      <c r="AD69" s="123">
        <f>COUNTIF(AR68:AR71,CONCATENATE("&gt;=",AR69))</f>
        <v>3</v>
      </c>
      <c r="AE69" s="124" t="str">
        <f>VLOOKUP("DR Congo",T,lang,FALSE)</f>
        <v>DR Congo</v>
      </c>
      <c r="AF69" s="123">
        <f>COUNTIF($S$7:$T$78,"=" &amp; AE69 &amp; "_win")</f>
        <v>1</v>
      </c>
      <c r="AG69" s="123">
        <f>COUNTIF($S$7:$T$78,"=" &amp; AE69 &amp; "_draw")</f>
        <v>1</v>
      </c>
      <c r="AH69" s="123">
        <f>COUNTIF($S$7:$T$78,"=" &amp; AE69 &amp; "_lose")</f>
        <v>1</v>
      </c>
      <c r="AI69" s="123">
        <f>SUMIF($E$7:$E$78,$AE69,$F$7:$F$78) + SUMIF($H$7:$H$78,$AE69,$G$7:$G$78)</f>
        <v>4</v>
      </c>
      <c r="AJ69" s="123">
        <f>SUMIF($E$7:$E$78,$AE69,$G$7:$G$78) + SUMIF($H$7:$H$78,$AE69,$F$7:$F$78)</f>
        <v>3</v>
      </c>
      <c r="AL69" s="123">
        <f>AI69-AJ69</f>
        <v>1</v>
      </c>
      <c r="AM69" s="123">
        <f>AL69-AL72</f>
        <v>10</v>
      </c>
      <c r="AN69" s="123">
        <f>AF69*3+AG69</f>
        <v>4</v>
      </c>
      <c r="AO69" s="123">
        <f>AN69/AN72*10+BA69</f>
        <v>5</v>
      </c>
      <c r="AP69" s="123">
        <f>AO69*10000000+BI69*100+AM69/AM72*10+AI69/AI72*1++IF(AQ69=0,ROW(),AQ69)/2000000</f>
        <v>50000007.238834411</v>
      </c>
      <c r="AQ69" s="126">
        <f>VLOOKUP(AE69,db_fifarank,2,FALSE)</f>
        <v>1478.35</v>
      </c>
      <c r="AR69" s="125">
        <f>AP69/AP72</f>
        <v>0.57142859164528825</v>
      </c>
      <c r="AS69" s="125" t="str">
        <f>IF(SUM(AF68:AH71)=12,J70,"2K")</f>
        <v>Portugal</v>
      </c>
      <c r="AT69" s="126" cm="1">
        <f t="array" ref="AT69">SUMPRODUCT(($S$7:$S$78=AE69&amp;"_win")*($U$7:$U$78))+SUMPRODUCT(($T$7:$T$78=AE69&amp;"_win")*($U$7:$U$78))</f>
        <v>0</v>
      </c>
      <c r="AU69" s="126" cm="1">
        <f t="array" ref="AU69">SUMPRODUCT(($S$7:$S$78=AE69&amp;"_draw")*($U$7:$U$78))+SUMPRODUCT(($T$7:$T$78=AE69&amp;"_draw")*($U$7:$U$78))</f>
        <v>0</v>
      </c>
      <c r="AV69" s="126" cm="1">
        <f t="array" ref="AV69">SUMPRODUCT(($E$7:$E$78=AE69)*($U$7:$U$78)*($F$7:$F$78))+SUMPRODUCT(($H$7:$H$78=AE69)*($U$7:$U$78)*($G$7:$G$78))</f>
        <v>0</v>
      </c>
      <c r="AW69" s="126" cm="1">
        <f t="array" ref="AW69">SUMPRODUCT(($E$7:$E$78=AE69)*($U$7:$U$78)*($G$7:$G$78))+SUMPRODUCT(($H$7:$H$78=AE69)*($U$7:$U$78)*($F$7:$F$78))</f>
        <v>0</v>
      </c>
      <c r="AX69" s="126">
        <f>AV69-AW69</f>
        <v>0</v>
      </c>
      <c r="AY69" s="126">
        <f>AX69-MIN(AX68:AX71)</f>
        <v>0</v>
      </c>
      <c r="AZ69" s="126">
        <f>AT69/AT72*1000+AU69/AU72*100+AY69/AY72*10+AV69/AV72</f>
        <v>0</v>
      </c>
      <c r="BA69" s="126">
        <f>AZ69/AZ72</f>
        <v>0</v>
      </c>
      <c r="BB69" s="126" cm="1">
        <f t="array" ref="BB69">SUMPRODUCT(($S$7:$S$78=AE69&amp;"_win")*($X$7:$X$78))+SUMPRODUCT(($T$7:$T$78=AE69&amp;"_win")*($X$7:$X$78))</f>
        <v>0</v>
      </c>
      <c r="BC69" s="126" cm="1">
        <f t="array" ref="BC69">SUMPRODUCT(($S$7:$S$78=AE69&amp;"_draw")*($X$7:$X$78))+SUMPRODUCT(($T$7:$T$78=AE69&amp;"_draw")*($X$7:$X$78))</f>
        <v>0</v>
      </c>
      <c r="BD69" s="126" cm="1">
        <f t="array" ref="BD69">SUMPRODUCT(($E$7:$E$78=AE69)*($X$7:$X$78)*($F$7:$F$78))+SUMPRODUCT(($H$7:$H$78=AE69)*($X$7:$X$78)*($G$7:$G$78))</f>
        <v>0</v>
      </c>
      <c r="BE69" s="126" cm="1">
        <f t="array" ref="BE69">SUMPRODUCT(($E$7:$E$78=AE69)*($X$7:$X$78)*($G$7:$G$78))+SUMPRODUCT(($H$7:$H$78=AE69)*($X$7:$X$78)*($F$7:$F$78))</f>
        <v>0</v>
      </c>
      <c r="BF69" s="126">
        <f>BD69-BE69</f>
        <v>0</v>
      </c>
      <c r="BG69" s="126">
        <f>BF69-MIN(BF68:BF71)</f>
        <v>0</v>
      </c>
      <c r="BH69" s="126">
        <f>BB69/BB72*1000+BC69/BC72*100+BG69/BG72*10+BD69/BD72</f>
        <v>0</v>
      </c>
      <c r="BI69" s="126">
        <f>BH69/BH72</f>
        <v>0</v>
      </c>
      <c r="BK69" s="21" t="str" cm="1">
        <f t="array" ref="BK69">INDEX(T,24+MONTH(BP69),lang) &amp; " " &amp; DAY(BP69) &amp; ", " &amp; YEAR(BP69) &amp; "   " &amp; (IF(HOUR(BP69)&lt;10,0,"")&amp;HOUR(BP69)) &amp; ":" &amp;  (IF(MINUTE(BP69)&lt;10,0,"")&amp;MINUTE(BP69))</f>
        <v>Jul 4, 2026   02:30</v>
      </c>
      <c r="BL69" s="21"/>
      <c r="BM69" s="21"/>
      <c r="BN69" s="21"/>
      <c r="BO69" s="28"/>
      <c r="BP69" s="114">
        <f>DATE(2026,7,3)+TIME(14,30,0)+gmt_delta</f>
        <v>46207.104166666664</v>
      </c>
      <c r="BQ69" s="115"/>
      <c r="BR69" s="132"/>
      <c r="BS69" s="26" t="str">
        <f>IF(BP70&gt;BP71,BL70,IF(BP70&lt;BP71,BL71,""))</f>
        <v>Colombia</v>
      </c>
      <c r="BT69" s="62">
        <v>0</v>
      </c>
      <c r="BU69" s="64">
        <v>0</v>
      </c>
      <c r="BV69" s="27">
        <v>3</v>
      </c>
      <c r="BW69" s="112">
        <f>IF(BW68="","",BT69*1000+BU69*10+BV69)</f>
        <v>3</v>
      </c>
      <c r="CE69" s="163"/>
      <c r="CF69" s="163"/>
      <c r="CG69" s="163"/>
      <c r="CH69" s="163"/>
      <c r="CI69" s="163"/>
      <c r="CJ69" s="163"/>
      <c r="CK69" s="153"/>
      <c r="CL69" s="153"/>
      <c r="CM69" s="153"/>
      <c r="CN69" s="153"/>
      <c r="CO69" s="153"/>
      <c r="CP69" s="153"/>
      <c r="CQ69" s="153"/>
    </row>
    <row r="70" spans="1:95" x14ac:dyDescent="0.25">
      <c r="A70" s="16">
        <v>64</v>
      </c>
      <c r="B70" s="17" t="str" cm="1">
        <f t="array" ref="B70">INDEX(T,18+INT(MOD(R70-1,7)),lang)</f>
        <v>Sat</v>
      </c>
      <c r="C70" s="18" t="str" cm="1">
        <f t="array" ref="C70">INDEX(T,24+MONTH(R70),lang) &amp; " " &amp; DAY(R70) &amp; ", " &amp; YEAR(R70)</f>
        <v>Jun 27, 2026</v>
      </c>
      <c r="D70" s="120">
        <f t="shared" si="7"/>
        <v>0.16666666666666666</v>
      </c>
      <c r="E70" s="78" t="str">
        <f>AE47</f>
        <v>New Zealand</v>
      </c>
      <c r="F70" s="19">
        <v>1</v>
      </c>
      <c r="G70" s="20">
        <v>5</v>
      </c>
      <c r="H70" s="80" t="str">
        <f>AE44</f>
        <v>Belgium</v>
      </c>
      <c r="I70" s="69"/>
      <c r="J70" s="33" t="str">
        <f>VLOOKUP(2,AD68:AN71,2,FALSE)</f>
        <v>Portugal</v>
      </c>
      <c r="K70" s="23">
        <f>L70+M70+N70</f>
        <v>3</v>
      </c>
      <c r="L70" s="23">
        <f>VLOOKUP(2,AD68:AN71,3,FALSE)</f>
        <v>1</v>
      </c>
      <c r="M70" s="23">
        <f>VLOOKUP(2,AD68:AN71,4,FALSE)</f>
        <v>2</v>
      </c>
      <c r="N70" s="23">
        <f>VLOOKUP(2,AD68:AN71,5,FALSE)</f>
        <v>0</v>
      </c>
      <c r="O70" s="23" t="str">
        <f>VLOOKUP(2,AD68:AN71,6,FALSE) &amp; " - " &amp; VLOOKUP(2,AD68:AN71,7,FALSE)</f>
        <v>6 - 1</v>
      </c>
      <c r="P70" s="34">
        <f>L70*3+M70</f>
        <v>5</v>
      </c>
      <c r="R70" s="123">
        <f>DATE(2026,6,26)+TIME(16,0,0)+gmt_delta</f>
        <v>46200.166666666664</v>
      </c>
      <c r="S70" s="127" t="str">
        <f t="shared" si="19"/>
        <v>New Zealand_lose</v>
      </c>
      <c r="T70" s="127" t="str">
        <f t="shared" si="20"/>
        <v>Belgium_win</v>
      </c>
      <c r="U70" s="123">
        <f t="shared" si="8"/>
        <v>0</v>
      </c>
      <c r="V70" s="123">
        <f t="shared" si="21"/>
        <v>0</v>
      </c>
      <c r="W70" s="123">
        <f t="shared" si="22"/>
        <v>0</v>
      </c>
      <c r="X70" s="123">
        <f t="shared" si="9"/>
        <v>0</v>
      </c>
      <c r="Y70" s="123">
        <f t="shared" si="10"/>
        <v>0</v>
      </c>
      <c r="Z70" s="123">
        <f t="shared" si="11"/>
        <v>0</v>
      </c>
      <c r="AA70" s="123">
        <f t="shared" si="17"/>
        <v>0</v>
      </c>
      <c r="AB70" s="123">
        <f t="shared" si="23"/>
        <v>-1</v>
      </c>
      <c r="AD70" s="123">
        <f>COUNTIF(AR68:AR71,CONCATENATE("&gt;=",AR70))</f>
        <v>4</v>
      </c>
      <c r="AE70" s="124" t="str">
        <f>VLOOKUP("Uzbekistan",T,lang,FALSE)</f>
        <v>Uzbekistan</v>
      </c>
      <c r="AF70" s="123">
        <f>COUNTIF($S$7:$T$78,"=" &amp; AE70 &amp; "_win")</f>
        <v>0</v>
      </c>
      <c r="AG70" s="123">
        <f>COUNTIF($S$7:$T$78,"=" &amp; AE70 &amp; "_draw")</f>
        <v>0</v>
      </c>
      <c r="AH70" s="123">
        <f>COUNTIF($S$7:$T$78,"=" &amp; AE70 &amp; "_lose")</f>
        <v>3</v>
      </c>
      <c r="AI70" s="123">
        <f>SUMIF($E$7:$E$78,$AE70,$F$7:$F$78) + SUMIF($H$7:$H$78,$AE70,$G$7:$G$78)</f>
        <v>2</v>
      </c>
      <c r="AJ70" s="123">
        <f>SUMIF($E$7:$E$78,$AE70,$G$7:$G$78) + SUMIF($H$7:$H$78,$AE70,$F$7:$F$78)</f>
        <v>11</v>
      </c>
      <c r="AL70" s="123">
        <f>AI70-AJ70</f>
        <v>-9</v>
      </c>
      <c r="AM70" s="123">
        <f>AL70-AL72</f>
        <v>0</v>
      </c>
      <c r="AN70" s="123">
        <f>AF70*3+AG70</f>
        <v>0</v>
      </c>
      <c r="AO70" s="123">
        <f>AN70/AN72*10+BA70</f>
        <v>0</v>
      </c>
      <c r="AP70" s="123">
        <f>AO70*10000000+BI70*100+AM70/AM72*10+AI70/AI72*1++IF(AQ70=0,ROW(),AQ70)/2000000</f>
        <v>0.28644695571428569</v>
      </c>
      <c r="AQ70" s="126">
        <f>VLOOKUP(AE70,db_fifarank,2,FALSE)</f>
        <v>1465.34</v>
      </c>
      <c r="AR70" s="125">
        <f>AP70/AP72</f>
        <v>3.2736791357454669E-9</v>
      </c>
      <c r="AT70" s="126" cm="1">
        <f t="array" ref="AT70">SUMPRODUCT(($S$7:$S$78=AE70&amp;"_win")*($U$7:$U$78))+SUMPRODUCT(($T$7:$T$78=AE70&amp;"_win")*($U$7:$U$78))</f>
        <v>0</v>
      </c>
      <c r="AU70" s="126" cm="1">
        <f t="array" ref="AU70">SUMPRODUCT(($S$7:$S$78=AE70&amp;"_draw")*($U$7:$U$78))+SUMPRODUCT(($T$7:$T$78=AE70&amp;"_draw")*($U$7:$U$78))</f>
        <v>0</v>
      </c>
      <c r="AV70" s="126" cm="1">
        <f t="array" ref="AV70">SUMPRODUCT(($E$7:$E$78=AE70)*($U$7:$U$78)*($F$7:$F$78))+SUMPRODUCT(($H$7:$H$78=AE70)*($U$7:$U$78)*($G$7:$G$78))</f>
        <v>0</v>
      </c>
      <c r="AW70" s="126" cm="1">
        <f t="array" ref="AW70">SUMPRODUCT(($E$7:$E$78=AE70)*($U$7:$U$78)*($G$7:$G$78))+SUMPRODUCT(($H$7:$H$78=AE70)*($U$7:$U$78)*($F$7:$F$78))</f>
        <v>0</v>
      </c>
      <c r="AX70" s="126">
        <f>AV70-AW70</f>
        <v>0</v>
      </c>
      <c r="AY70" s="126">
        <f>AX70-MIN(AX68:AX71)</f>
        <v>0</v>
      </c>
      <c r="AZ70" s="126">
        <f>AT70/AT72*1000+AU70/AU72*100+AY70/AY72*10+AV70/AV72</f>
        <v>0</v>
      </c>
      <c r="BA70" s="126">
        <f>AZ70/AZ72</f>
        <v>0</v>
      </c>
      <c r="BB70" s="126" cm="1">
        <f t="array" ref="BB70">SUMPRODUCT(($S$7:$S$78=AE70&amp;"_win")*($X$7:$X$78))+SUMPRODUCT(($T$7:$T$78=AE70&amp;"_win")*($X$7:$X$78))</f>
        <v>0</v>
      </c>
      <c r="BC70" s="126" cm="1">
        <f t="array" ref="BC70">SUMPRODUCT(($S$7:$S$78=AE70&amp;"_draw")*($X$7:$X$78))+SUMPRODUCT(($T$7:$T$78=AE70&amp;"_draw")*($X$7:$X$78))</f>
        <v>0</v>
      </c>
      <c r="BD70" s="126" cm="1">
        <f t="array" ref="BD70">SUMPRODUCT(($E$7:$E$78=AE70)*($X$7:$X$78)*($F$7:$F$78))+SUMPRODUCT(($H$7:$H$78=AE70)*($X$7:$X$78)*($G$7:$G$78))</f>
        <v>0</v>
      </c>
      <c r="BE70" s="126" cm="1">
        <f t="array" ref="BE70">SUMPRODUCT(($E$7:$E$78=AE70)*($X$7:$X$78)*($G$7:$G$78))+SUMPRODUCT(($H$7:$H$78=AE70)*($X$7:$X$78)*($F$7:$F$78))</f>
        <v>0</v>
      </c>
      <c r="BF70" s="126">
        <f>BD70-BE70</f>
        <v>0</v>
      </c>
      <c r="BG70" s="126">
        <f>BF70-MIN(BF68:BF71)</f>
        <v>0</v>
      </c>
      <c r="BH70" s="126">
        <f>BB70/BB72*1000+BC70/BC72*100+BG70/BG72*10+BD70/BD72</f>
        <v>0</v>
      </c>
      <c r="BI70" s="126">
        <f>BH70/BH72</f>
        <v>0</v>
      </c>
      <c r="BK70" s="131">
        <v>87</v>
      </c>
      <c r="BL70" s="24" t="str">
        <f>AS68</f>
        <v>Colombia</v>
      </c>
      <c r="BM70" s="61">
        <v>1</v>
      </c>
      <c r="BN70" s="63"/>
      <c r="BO70" s="25"/>
      <c r="BP70" s="116">
        <f>IF(OR(BM70="",BM71="",AND(BN70="",BN71&lt;&gt;""),AND(BN71="",BN70&lt;&gt;""),AND(BO70="",BO71&lt;&gt;""),AND(BO71="",BO70&lt;&gt;"")),"",BM70*1000+BN70*10+BO70)</f>
        <v>1000</v>
      </c>
      <c r="BQ70" s="112"/>
      <c r="BW70" s="112"/>
    </row>
    <row r="71" spans="1:95" x14ac:dyDescent="0.25">
      <c r="A71" s="16">
        <v>65</v>
      </c>
      <c r="B71" s="17" t="str" cm="1">
        <f t="array" ref="B71">INDEX(T,18+INT(MOD(R71-1,7)),lang)</f>
        <v>Sat</v>
      </c>
      <c r="C71" s="18" t="str" cm="1">
        <f t="array" ref="C71">INDEX(T,24+MONTH(R71),lang) &amp; " " &amp; DAY(R71) &amp; ", " &amp; YEAR(R71)</f>
        <v>Jun 27, 2026</v>
      </c>
      <c r="D71" s="120">
        <f t="shared" si="7"/>
        <v>4.1666666666666664E-2</v>
      </c>
      <c r="E71" s="78" t="str">
        <f>AE51</f>
        <v>Cape Verde</v>
      </c>
      <c r="F71" s="19">
        <v>0</v>
      </c>
      <c r="G71" s="20">
        <v>0</v>
      </c>
      <c r="H71" s="80" t="str">
        <f>AE52</f>
        <v>Saudi Arabia</v>
      </c>
      <c r="I71" s="69"/>
      <c r="J71" s="33" t="str">
        <f>VLOOKUP(3,AD68:AN71,2,FALSE)</f>
        <v>DR Congo</v>
      </c>
      <c r="K71" s="23">
        <f>L71+M71+N71</f>
        <v>3</v>
      </c>
      <c r="L71" s="23">
        <f>VLOOKUP(3,AD68:AN71,3,FALSE)</f>
        <v>1</v>
      </c>
      <c r="M71" s="23">
        <f>VLOOKUP(3,AD68:AN71,4,FALSE)</f>
        <v>1</v>
      </c>
      <c r="N71" s="23">
        <f>VLOOKUP(3,AD68:AN71,5,FALSE)</f>
        <v>1</v>
      </c>
      <c r="O71" s="23" t="str">
        <f>VLOOKUP(3,AD68:AN71,6,FALSE) &amp; " - " &amp; VLOOKUP(3,AD68:AN71,7,FALSE)</f>
        <v>4 - 3</v>
      </c>
      <c r="P71" s="34">
        <f>L71*3+M71</f>
        <v>4</v>
      </c>
      <c r="R71" s="123">
        <f>DATE(2026,6,26)+TIME(13,0,0)+gmt_delta</f>
        <v>46200.041666666664</v>
      </c>
      <c r="S71" s="127" t="str">
        <f t="shared" si="19"/>
        <v>Cape Verde_draw</v>
      </c>
      <c r="T71" s="127" t="str">
        <f t="shared" si="20"/>
        <v>Saudi Arabia_draw</v>
      </c>
      <c r="U71" s="123">
        <f t="shared" si="8"/>
        <v>0</v>
      </c>
      <c r="V71" s="123">
        <f t="shared" si="21"/>
        <v>0</v>
      </c>
      <c r="W71" s="123">
        <f t="shared" si="22"/>
        <v>0</v>
      </c>
      <c r="X71" s="123">
        <f t="shared" si="9"/>
        <v>0</v>
      </c>
      <c r="Y71" s="123">
        <f t="shared" si="10"/>
        <v>0</v>
      </c>
      <c r="Z71" s="123">
        <f t="shared" si="11"/>
        <v>0</v>
      </c>
      <c r="AA71" s="123">
        <f t="shared" ref="AA71:AA78" si="29">IF(OR(E71=my_team,H71=my_team),1,IF(INT(MATCH(E71,$AE$8:$AE$78,0)/6)=$AA$6,1,0))</f>
        <v>0</v>
      </c>
      <c r="AB71" s="123">
        <f t="shared" si="23"/>
        <v>0</v>
      </c>
      <c r="AD71" s="123">
        <f>COUNTIF(AR68:AR71,CONCATENATE("&gt;=",AR71))</f>
        <v>1</v>
      </c>
      <c r="AE71" s="124" t="str">
        <f>VLOOKUP("Colombia",T,lang,FALSE)</f>
        <v>Colombia</v>
      </c>
      <c r="AF71" s="123">
        <f>COUNTIF($S$7:$T$78,"=" &amp; AE71 &amp; "_win")</f>
        <v>2</v>
      </c>
      <c r="AG71" s="123">
        <f>COUNTIF($S$7:$T$78,"=" &amp; AE71 &amp; "_draw")</f>
        <v>1</v>
      </c>
      <c r="AH71" s="123">
        <f>COUNTIF($S$7:$T$78,"=" &amp; AE71 &amp; "_lose")</f>
        <v>0</v>
      </c>
      <c r="AI71" s="123">
        <f>SUMIF($E$7:$E$78,$AE71,$F$7:$F$78) + SUMIF($H$7:$H$78,$AE71,$G$7:$G$78)</f>
        <v>4</v>
      </c>
      <c r="AJ71" s="123">
        <f>SUMIF($E$7:$E$78,$AE71,$G$7:$G$78) + SUMIF($H$7:$H$78,$AE71,$F$7:$F$78)</f>
        <v>1</v>
      </c>
      <c r="AL71" s="123">
        <f>AI71-AJ71</f>
        <v>3</v>
      </c>
      <c r="AM71" s="123">
        <f>AL71-AL72</f>
        <v>12</v>
      </c>
      <c r="AN71" s="123">
        <f>AF71*3+AG71</f>
        <v>7</v>
      </c>
      <c r="AO71" s="123">
        <f>AN71/AN72*10+BA71</f>
        <v>8.75</v>
      </c>
      <c r="AP71" s="123">
        <f>AO71*10000000+BI71*100+AM71/AM72*10+AI71/AI72*1++IF(AQ71=0,ROW(),AQ71)/2000000</f>
        <v>87500008.572275117</v>
      </c>
      <c r="AQ71" s="126">
        <f>VLOOKUP(AE71,db_fifarank,2,FALSE)</f>
        <v>1693.09</v>
      </c>
      <c r="AR71" s="125">
        <f>AP71/AP72</f>
        <v>0.9999999885714298</v>
      </c>
      <c r="AT71" s="126" cm="1">
        <f t="array" ref="AT71">SUMPRODUCT(($S$7:$S$78=AE71&amp;"_win")*($U$7:$U$78))+SUMPRODUCT(($T$7:$T$78=AE71&amp;"_win")*($U$7:$U$78))</f>
        <v>0</v>
      </c>
      <c r="AU71" s="126" cm="1">
        <f t="array" ref="AU71">SUMPRODUCT(($S$7:$S$78=AE71&amp;"_draw")*($U$7:$U$78))+SUMPRODUCT(($T$7:$T$78=AE71&amp;"_draw")*($U$7:$U$78))</f>
        <v>0</v>
      </c>
      <c r="AV71" s="126" cm="1">
        <f t="array" ref="AV71">SUMPRODUCT(($E$7:$E$78=AE71)*($U$7:$U$78)*($F$7:$F$78))+SUMPRODUCT(($H$7:$H$78=AE71)*($U$7:$U$78)*($G$7:$G$78))</f>
        <v>0</v>
      </c>
      <c r="AW71" s="126" cm="1">
        <f t="array" ref="AW71">SUMPRODUCT(($E$7:$E$78=AE71)*($U$7:$U$78)*($G$7:$G$78))+SUMPRODUCT(($H$7:$H$78=AE71)*($U$7:$U$78)*($F$7:$F$78))</f>
        <v>0</v>
      </c>
      <c r="AX71" s="126">
        <f>AV71-AW71</f>
        <v>0</v>
      </c>
      <c r="AY71" s="126">
        <f>AX71-MIN(AX68:AX71)</f>
        <v>0</v>
      </c>
      <c r="AZ71" s="126">
        <f>AT71/AT72*1000+AU71/AU72*100+AY71/AY72*10+AV71/AV72</f>
        <v>0</v>
      </c>
      <c r="BA71" s="126">
        <f>AZ71/AZ72</f>
        <v>0</v>
      </c>
      <c r="BB71" s="126" cm="1">
        <f t="array" ref="BB71">SUMPRODUCT(($S$7:$S$78=AE71&amp;"_win")*($X$7:$X$78))+SUMPRODUCT(($T$7:$T$78=AE71&amp;"_win")*($X$7:$X$78))</f>
        <v>0</v>
      </c>
      <c r="BC71" s="126" cm="1">
        <f t="array" ref="BC71">SUMPRODUCT(($S$7:$S$78=AE71&amp;"_draw")*($X$7:$X$78))+SUMPRODUCT(($T$7:$T$78=AE71&amp;"_draw")*($X$7:$X$78))</f>
        <v>0</v>
      </c>
      <c r="BD71" s="126" cm="1">
        <f t="array" ref="BD71">SUMPRODUCT(($E$7:$E$78=AE71)*($X$7:$X$78)*($F$7:$F$78))+SUMPRODUCT(($H$7:$H$78=AE71)*($X$7:$X$78)*($G$7:$G$78))</f>
        <v>0</v>
      </c>
      <c r="BE71" s="126" cm="1">
        <f t="array" ref="BE71">SUMPRODUCT(($E$7:$E$78=AE71)*($X$7:$X$78)*($G$7:$G$78))+SUMPRODUCT(($H$7:$H$78=AE71)*($X$7:$X$78)*($F$7:$F$78))</f>
        <v>0</v>
      </c>
      <c r="BF71" s="126">
        <f>BD71-BE71</f>
        <v>0</v>
      </c>
      <c r="BG71" s="126">
        <f>BF71-MIN(BF68:BF71)</f>
        <v>0</v>
      </c>
      <c r="BH71" s="126">
        <f>BB71/BB72*1000+BC71/BC72*100+BG71/BG72*10+BD71/BD72</f>
        <v>0</v>
      </c>
      <c r="BI71" s="126">
        <f>BH71/BH72</f>
        <v>0</v>
      </c>
      <c r="BK71" s="132"/>
      <c r="BL71" s="26" t="str">
        <f>IF(group_round_completed,VLOOKUP('3rd places'!J3,AK80:AS91,9,FALSE),"3rd Group D/E/I/J/L")</f>
        <v>Ghana</v>
      </c>
      <c r="BM71" s="62">
        <v>0</v>
      </c>
      <c r="BN71" s="64"/>
      <c r="BO71" s="27"/>
      <c r="BP71" s="112">
        <f>IF(BP70="","",BM71*1000+BN71*10+BO71)</f>
        <v>0</v>
      </c>
      <c r="BQ71" s="112"/>
    </row>
    <row r="72" spans="1:95" x14ac:dyDescent="0.25">
      <c r="A72" s="16">
        <v>66</v>
      </c>
      <c r="B72" s="17" t="str" cm="1">
        <f t="array" ref="B72">INDEX(T,18+INT(MOD(R72-1,7)),lang)</f>
        <v>Sat</v>
      </c>
      <c r="C72" s="18" t="str" cm="1">
        <f t="array" ref="C72">INDEX(T,24+MONTH(R72),lang) &amp; " " &amp; DAY(R72) &amp; ", " &amp; YEAR(R72)</f>
        <v>Jun 27, 2026</v>
      </c>
      <c r="D72" s="120">
        <f t="shared" ref="D72:D78" si="30">TIME(HOUR(R72),MINUTE(R72),0)</f>
        <v>4.1666666666666664E-2</v>
      </c>
      <c r="E72" s="78" t="str">
        <f>AE53</f>
        <v>Uruguay</v>
      </c>
      <c r="F72" s="19">
        <v>0</v>
      </c>
      <c r="G72" s="20">
        <v>1</v>
      </c>
      <c r="H72" s="80" t="str">
        <f>AE50</f>
        <v>Spain</v>
      </c>
      <c r="I72" s="69"/>
      <c r="J72" s="35" t="str">
        <f>VLOOKUP(4,AD68:AN71,2,FALSE)</f>
        <v>Uzbekistan</v>
      </c>
      <c r="K72" s="36">
        <f>L72+M72+N72</f>
        <v>3</v>
      </c>
      <c r="L72" s="36">
        <f>VLOOKUP(4,AD68:AN71,3,FALSE)</f>
        <v>0</v>
      </c>
      <c r="M72" s="36">
        <f>VLOOKUP(4,AD68:AN71,4,FALSE)</f>
        <v>0</v>
      </c>
      <c r="N72" s="36">
        <f>VLOOKUP(4,AD68:AN71,5,FALSE)</f>
        <v>3</v>
      </c>
      <c r="O72" s="36" t="str">
        <f>VLOOKUP(4,AD68:AN71,6,FALSE) &amp; " - " &amp; VLOOKUP(4,AD68:AN71,7,FALSE)</f>
        <v>2 - 11</v>
      </c>
      <c r="P72" s="37">
        <f>L72*3+M72</f>
        <v>0</v>
      </c>
      <c r="R72" s="123">
        <f>DATE(2026,6,26)+TIME(13,0,0)+gmt_delta</f>
        <v>46200.041666666664</v>
      </c>
      <c r="S72" s="127" t="str">
        <f t="shared" si="19"/>
        <v>Uruguay_lose</v>
      </c>
      <c r="T72" s="127" t="str">
        <f t="shared" si="20"/>
        <v>Spain_win</v>
      </c>
      <c r="U72" s="123">
        <f t="shared" ref="U72:U78" si="31">IF(S72="",0,IF(VLOOKUP(E72,$AE$8:$AN$77,10,FALSE)=VLOOKUP(H72,$AE$8:$AN$77,10,FALSE),1,0))</f>
        <v>0</v>
      </c>
      <c r="V72" s="123">
        <f t="shared" si="21"/>
        <v>0</v>
      </c>
      <c r="W72" s="123">
        <f t="shared" si="22"/>
        <v>0</v>
      </c>
      <c r="X72" s="123">
        <f t="shared" ref="X72:X78" si="32">IF(S72="",0,IF(VLOOKUP(E72,$AE$8:$AO$77,11,FALSE)=VLOOKUP(H72,$AE$8:$AO$77,11,FALSE),1,0))</f>
        <v>0</v>
      </c>
      <c r="Y72" s="123">
        <f t="shared" ref="Y72:Y78" si="33">X72*F72</f>
        <v>0</v>
      </c>
      <c r="Z72" s="123">
        <f t="shared" ref="Z72:Z78" si="34">X72*G72</f>
        <v>0</v>
      </c>
      <c r="AA72" s="123">
        <f t="shared" si="29"/>
        <v>0</v>
      </c>
      <c r="AB72" s="123">
        <f t="shared" si="23"/>
        <v>-1</v>
      </c>
      <c r="AF72" s="123">
        <f t="shared" ref="AF72:AH72" si="35">MAX(AF68:AF71)-MIN(AF68:AF71)+1</f>
        <v>3</v>
      </c>
      <c r="AG72" s="123">
        <f t="shared" si="35"/>
        <v>3</v>
      </c>
      <c r="AH72" s="123">
        <f t="shared" si="35"/>
        <v>4</v>
      </c>
      <c r="AI72" s="123">
        <f>MAX(AI68:AI71)+1</f>
        <v>7</v>
      </c>
      <c r="AL72" s="123">
        <f>MIN(AL68:AL71)</f>
        <v>-9</v>
      </c>
      <c r="AM72" s="123">
        <f>MAX(AM68:AM71)+1</f>
        <v>15</v>
      </c>
      <c r="AN72" s="123">
        <f>MAX(AN68:AN71)+1</f>
        <v>8</v>
      </c>
      <c r="AO72" s="123">
        <f>MAX(AO68:AO71)+1</f>
        <v>9.75</v>
      </c>
      <c r="AP72" s="123">
        <f>MAX(AP68:AP71)+1</f>
        <v>87500009.572275117</v>
      </c>
      <c r="AT72" s="126">
        <f>MAX(AT68:AT71)-MIN(AT68:AT71)+1</f>
        <v>1</v>
      </c>
      <c r="AU72" s="126">
        <f>MAX(AU68:AU71)-MIN(AU68:AU71)+1</f>
        <v>1</v>
      </c>
      <c r="AV72" s="126">
        <f>MAX(AV68:AV71)-MIN(AV68:AV71)+1</f>
        <v>1</v>
      </c>
      <c r="AW72" s="126">
        <f>MAX(AW68:AW71)-MIN(AW68:AW71)+1</f>
        <v>1</v>
      </c>
      <c r="AY72" s="126">
        <f>MAX(AY68:AY71)-MIN(AY68:AY71)+1</f>
        <v>1</v>
      </c>
      <c r="AZ72" s="126">
        <f>MAX(AZ68:AZ71)+1</f>
        <v>1</v>
      </c>
      <c r="BB72" s="126">
        <f>MAX(BB68:BB71)-MIN(BB68:BB71)+1</f>
        <v>1</v>
      </c>
      <c r="BC72" s="126">
        <f>MAX(BC68:BC71)-MIN(BC68:BC71)+1</f>
        <v>1</v>
      </c>
      <c r="BD72" s="126">
        <f>MAX(BD68:BD71)-MIN(BD68:BD71)+1</f>
        <v>1</v>
      </c>
      <c r="BE72" s="126">
        <f>MAX(BE68:BE71)-MIN(BE68:BE71)+1</f>
        <v>1</v>
      </c>
      <c r="BG72" s="126">
        <f>MAX(BG68:BG71)-MIN(BG68:BG71)+1</f>
        <v>1</v>
      </c>
      <c r="BH72" s="126">
        <f>MAX(BH68:BH71)+1</f>
        <v>1</v>
      </c>
    </row>
    <row r="73" spans="1:95" x14ac:dyDescent="0.25">
      <c r="A73" s="16">
        <v>67</v>
      </c>
      <c r="B73" s="17" t="str" cm="1">
        <f t="array" ref="B73">INDEX(T,18+INT(MOD(R73-1,7)),lang)</f>
        <v>Sat</v>
      </c>
      <c r="C73" s="18" t="str" cm="1">
        <f t="array" ref="C73">INDEX(T,24+MONTH(R73),lang) &amp; " " &amp; DAY(R73) &amp; ", " &amp; YEAR(R73)</f>
        <v>Jun 27, 2026</v>
      </c>
      <c r="D73" s="120">
        <f t="shared" si="30"/>
        <v>0.91666666666666663</v>
      </c>
      <c r="E73" s="78" t="str">
        <f>AE77</f>
        <v>Panama</v>
      </c>
      <c r="F73" s="19">
        <v>0</v>
      </c>
      <c r="G73" s="20">
        <v>2</v>
      </c>
      <c r="H73" s="80" t="str">
        <f>AE74</f>
        <v>England</v>
      </c>
      <c r="I73" s="69"/>
      <c r="J73" s="72"/>
      <c r="K73" s="70"/>
      <c r="L73" s="70"/>
      <c r="M73" s="70"/>
      <c r="N73" s="70"/>
      <c r="O73" s="70"/>
      <c r="P73" s="70"/>
      <c r="R73" s="123">
        <f>DATE(2026,6,27)+TIME(10,0,0)+gmt_delta</f>
        <v>46200.916666666664</v>
      </c>
      <c r="S73" s="127" t="str">
        <f t="shared" si="19"/>
        <v>Panama_lose</v>
      </c>
      <c r="T73" s="127" t="str">
        <f t="shared" si="20"/>
        <v>England_win</v>
      </c>
      <c r="U73" s="123">
        <f t="shared" si="31"/>
        <v>0</v>
      </c>
      <c r="V73" s="123">
        <f t="shared" si="21"/>
        <v>0</v>
      </c>
      <c r="W73" s="123">
        <f t="shared" si="22"/>
        <v>0</v>
      </c>
      <c r="X73" s="123">
        <f t="shared" si="32"/>
        <v>0</v>
      </c>
      <c r="Y73" s="123">
        <f t="shared" si="33"/>
        <v>0</v>
      </c>
      <c r="Z73" s="123">
        <f t="shared" si="34"/>
        <v>0</v>
      </c>
      <c r="AA73" s="123">
        <f t="shared" si="29"/>
        <v>1</v>
      </c>
      <c r="AB73" s="123">
        <f t="shared" si="23"/>
        <v>-1</v>
      </c>
    </row>
    <row r="74" spans="1:95" x14ac:dyDescent="0.25">
      <c r="A74" s="16">
        <v>68</v>
      </c>
      <c r="B74" s="17" t="str" cm="1">
        <f t="array" ref="B74">INDEX(T,18+INT(MOD(R74-1,7)),lang)</f>
        <v>Sat</v>
      </c>
      <c r="C74" s="18" t="str" cm="1">
        <f t="array" ref="C74">INDEX(T,24+MONTH(R74),lang) &amp; " " &amp; DAY(R74) &amp; ", " &amp; YEAR(R74)</f>
        <v>Jun 27, 2026</v>
      </c>
      <c r="D74" s="120">
        <f t="shared" si="30"/>
        <v>0.91666666666666663</v>
      </c>
      <c r="E74" s="78" t="str">
        <f>AE75</f>
        <v>Croatia</v>
      </c>
      <c r="F74" s="19">
        <v>2</v>
      </c>
      <c r="G74" s="20">
        <v>1</v>
      </c>
      <c r="H74" s="80" t="str">
        <f>AE76</f>
        <v>Ghana</v>
      </c>
      <c r="I74" s="69"/>
      <c r="J74" s="38" t="str" cm="1">
        <f t="array" ref="J74">INDEX(T,9,lang) &amp; " " &amp; "L"</f>
        <v>Group L</v>
      </c>
      <c r="K74" s="94" t="str" cm="1">
        <f t="array" ref="K74">INDEX(T,10,lang)</f>
        <v>PL</v>
      </c>
      <c r="L74" s="94" t="str" cm="1">
        <f t="array" ref="L74">INDEX(T,11,lang)</f>
        <v>W</v>
      </c>
      <c r="M74" s="94" t="str" cm="1">
        <f t="array" ref="M74">INDEX(T,12,lang)</f>
        <v>DRAW</v>
      </c>
      <c r="N74" s="94" t="str" cm="1">
        <f t="array" ref="N74">INDEX(T,13,lang)</f>
        <v>L</v>
      </c>
      <c r="O74" s="94" t="str" cm="1">
        <f t="array" ref="O74">INDEX(T,14,lang)</f>
        <v>GF - GA</v>
      </c>
      <c r="P74" s="95" t="str" cm="1">
        <f t="array" ref="P74">INDEX(T,15,lang)</f>
        <v>PNT</v>
      </c>
      <c r="R74" s="123">
        <f>DATE(2026,6,27)+TIME(10,0,0)+gmt_delta</f>
        <v>46200.916666666664</v>
      </c>
      <c r="S74" s="127" t="str">
        <f t="shared" si="19"/>
        <v>Croatia_win</v>
      </c>
      <c r="T74" s="127" t="str">
        <f t="shared" si="20"/>
        <v>Ghana_lose</v>
      </c>
      <c r="U74" s="123">
        <f t="shared" si="31"/>
        <v>0</v>
      </c>
      <c r="V74" s="123">
        <f t="shared" si="21"/>
        <v>0</v>
      </c>
      <c r="W74" s="123">
        <f t="shared" si="22"/>
        <v>0</v>
      </c>
      <c r="X74" s="123">
        <f t="shared" si="32"/>
        <v>0</v>
      </c>
      <c r="Y74" s="123">
        <f t="shared" si="33"/>
        <v>0</v>
      </c>
      <c r="Z74" s="123">
        <f t="shared" si="34"/>
        <v>0</v>
      </c>
      <c r="AA74" s="123">
        <f t="shared" si="29"/>
        <v>0</v>
      </c>
      <c r="AB74" s="123">
        <f t="shared" si="23"/>
        <v>1</v>
      </c>
      <c r="AD74" s="123">
        <f>COUNTIF(AR74:AR77,CONCATENATE("&gt;=",AR74))</f>
        <v>1</v>
      </c>
      <c r="AE74" s="124" t="str">
        <f>VLOOKUP("England",T,lang,FALSE)</f>
        <v>England</v>
      </c>
      <c r="AF74" s="123">
        <f>COUNTIF($S$7:$T$78,"=" &amp; AE74 &amp; "_win")</f>
        <v>2</v>
      </c>
      <c r="AG74" s="123">
        <f>COUNTIF($S$7:$T$78,"=" &amp; AE74 &amp; "_draw")</f>
        <v>1</v>
      </c>
      <c r="AH74" s="123">
        <f>COUNTIF($S$7:$T$78,"=" &amp; AE74 &amp; "_lose")</f>
        <v>0</v>
      </c>
      <c r="AI74" s="123">
        <f>SUMIF($E$7:$E$78,$AE74,$F$7:$F$78) + SUMIF($H$7:$H$78,$AE74,$G$7:$G$78)</f>
        <v>6</v>
      </c>
      <c r="AJ74" s="123">
        <f>SUMIF($E$7:$E$78,$AE74,$G$7:$G$78) + SUMIF($H$7:$H$78,$AE74,$F$7:$F$78)</f>
        <v>2</v>
      </c>
      <c r="AL74" s="123">
        <f>AI74-AJ74</f>
        <v>4</v>
      </c>
      <c r="AM74" s="123">
        <f>AL74-AL78</f>
        <v>8</v>
      </c>
      <c r="AN74" s="123">
        <f>AF74*3+AG74</f>
        <v>7</v>
      </c>
      <c r="AO74" s="123">
        <f>AN74/AN78*10+BA74</f>
        <v>8.75</v>
      </c>
      <c r="AP74" s="123">
        <f>AO74*10000000+BI74*100+AM74/AM78*10+AI74/AI78*1++IF(AQ74=0,ROW(),AQ74)/2000000</f>
        <v>87500009.746944726</v>
      </c>
      <c r="AQ74" s="126">
        <f>VLOOKUP(AE74,db_fifarank,2,FALSE)</f>
        <v>1825.97</v>
      </c>
      <c r="AR74" s="125">
        <f>AP74/AP78</f>
        <v>0.99999998857143002</v>
      </c>
      <c r="AS74" s="125" t="str">
        <f>IF(SUM(AF74:AH77)=12,J75,"1L")</f>
        <v>England</v>
      </c>
      <c r="AT74" s="126" cm="1">
        <f t="array" ref="AT74">SUMPRODUCT(($S$7:$S$78=AE74&amp;"_win")*($U$7:$U$78))+SUMPRODUCT(($T$7:$T$78=AE74&amp;"_win")*($U$7:$U$78))</f>
        <v>0</v>
      </c>
      <c r="AU74" s="126" cm="1">
        <f t="array" ref="AU74">SUMPRODUCT(($S$7:$S$78=AE74&amp;"_draw")*($U$7:$U$78))+SUMPRODUCT(($T$7:$T$78=AE74&amp;"_draw")*($U$7:$U$78))</f>
        <v>0</v>
      </c>
      <c r="AV74" s="126" cm="1">
        <f t="array" ref="AV74">SUMPRODUCT(($E$7:$E$78=AE74)*($U$7:$U$78)*($F$7:$F$78))+SUMPRODUCT(($H$7:$H$78=AE74)*($U$7:$U$78)*($G$7:$G$78))</f>
        <v>0</v>
      </c>
      <c r="AW74" s="126" cm="1">
        <f t="array" ref="AW74">SUMPRODUCT(($E$7:$E$78=AE74)*($U$7:$U$78)*($G$7:$G$78))+SUMPRODUCT(($H$7:$H$78=AE74)*($U$7:$U$78)*($F$7:$F$78))</f>
        <v>0</v>
      </c>
      <c r="AX74" s="126">
        <f>AV74-AW74</f>
        <v>0</v>
      </c>
      <c r="AY74" s="126">
        <f>AX74-MIN(AX74:AX77)</f>
        <v>0</v>
      </c>
      <c r="AZ74" s="126">
        <f>AT74/AT78*1000+AU74/AU78*100+AY74/AY78*10+AV74/AV78</f>
        <v>0</v>
      </c>
      <c r="BA74" s="126">
        <f>AZ74/AZ78</f>
        <v>0</v>
      </c>
      <c r="BB74" s="126" cm="1">
        <f t="array" ref="BB74">SUMPRODUCT(($S$7:$S$78=AE74&amp;"_win")*($X$7:$X$78))+SUMPRODUCT(($T$7:$T$78=AE74&amp;"_win")*($X$7:$X$78))</f>
        <v>0</v>
      </c>
      <c r="BC74" s="126" cm="1">
        <f t="array" ref="BC74">SUMPRODUCT(($S$7:$S$78=AE74&amp;"_draw")*($X$7:$X$78))+SUMPRODUCT(($T$7:$T$78=AE74&amp;"_draw")*($X$7:$X$78))</f>
        <v>0</v>
      </c>
      <c r="BD74" s="126" cm="1">
        <f t="array" ref="BD74">SUMPRODUCT(($E$7:$E$78=AE74)*($X$7:$X$78)*($F$7:$F$78))+SUMPRODUCT(($H$7:$H$78=AE74)*($X$7:$X$78)*($G$7:$G$78))</f>
        <v>0</v>
      </c>
      <c r="BE74" s="126" cm="1">
        <f t="array" ref="BE74">SUMPRODUCT(($E$7:$E$78=AE74)*($X$7:$X$78)*($G$7:$G$78))+SUMPRODUCT(($H$7:$H$78=AE74)*($X$7:$X$78)*($F$7:$F$78))</f>
        <v>0</v>
      </c>
      <c r="BF74" s="126">
        <f>BD74-BE74</f>
        <v>0</v>
      </c>
      <c r="BG74" s="126">
        <f>BF74-MIN(BF74:BF77)</f>
        <v>0</v>
      </c>
      <c r="BH74" s="126">
        <f>BB74/BB78*1000+BC74/BC78*100+BG74/BG78*10+BD74/BD78</f>
        <v>0</v>
      </c>
      <c r="BI74" s="126">
        <f>BH74/BH78</f>
        <v>0</v>
      </c>
    </row>
    <row r="75" spans="1:95" x14ac:dyDescent="0.25">
      <c r="A75" s="16">
        <v>69</v>
      </c>
      <c r="B75" s="17" t="str" cm="1">
        <f t="array" ref="B75">INDEX(T,18+INT(MOD(R75-1,7)),lang)</f>
        <v>Sun</v>
      </c>
      <c r="C75" s="18" t="str" cm="1">
        <f t="array" ref="C75">INDEX(T,24+MONTH(R75),lang) &amp; " " &amp; DAY(R75) &amp; ", " &amp; YEAR(R75)</f>
        <v>Jun 28, 2026</v>
      </c>
      <c r="D75" s="120">
        <f t="shared" si="30"/>
        <v>0.125</v>
      </c>
      <c r="E75" s="78" t="str">
        <f>AE63</f>
        <v>Algeria</v>
      </c>
      <c r="F75" s="19">
        <v>3</v>
      </c>
      <c r="G75" s="20">
        <v>3</v>
      </c>
      <c r="H75" s="80" t="str">
        <f>AE64</f>
        <v>Austria</v>
      </c>
      <c r="I75" s="69"/>
      <c r="J75" s="30" t="str">
        <f>VLOOKUP(1,AD74:AN77,2,FALSE)</f>
        <v>England</v>
      </c>
      <c r="K75" s="31">
        <f>L75+M75+N75</f>
        <v>3</v>
      </c>
      <c r="L75" s="31">
        <f>VLOOKUP(1,AD74:AN77,3,FALSE)</f>
        <v>2</v>
      </c>
      <c r="M75" s="31">
        <f>VLOOKUP(1,AD74:AN77,4,FALSE)</f>
        <v>1</v>
      </c>
      <c r="N75" s="31">
        <f>VLOOKUP(1,AD74:AN77,5,FALSE)</f>
        <v>0</v>
      </c>
      <c r="O75" s="31" t="str">
        <f>VLOOKUP(1,AD74:AN77,6,FALSE) &amp; " - " &amp; VLOOKUP(1,AD74:AN77,7,FALSE)</f>
        <v>6 - 2</v>
      </c>
      <c r="P75" s="32">
        <f>L75*3+M75</f>
        <v>7</v>
      </c>
      <c r="R75" s="123">
        <f>DATE(2026,6,27)+TIME(15,0,0)+gmt_delta</f>
        <v>46201.125</v>
      </c>
      <c r="S75" s="127" t="str">
        <f t="shared" si="19"/>
        <v>Algeria_draw</v>
      </c>
      <c r="T75" s="127" t="str">
        <f t="shared" si="20"/>
        <v>Austria_draw</v>
      </c>
      <c r="U75" s="123">
        <f t="shared" si="31"/>
        <v>1</v>
      </c>
      <c r="V75" s="123">
        <f t="shared" si="21"/>
        <v>3</v>
      </c>
      <c r="W75" s="123">
        <f t="shared" si="22"/>
        <v>3</v>
      </c>
      <c r="X75" s="123">
        <f t="shared" si="32"/>
        <v>1</v>
      </c>
      <c r="Y75" s="123">
        <f t="shared" si="33"/>
        <v>3</v>
      </c>
      <c r="Z75" s="123">
        <f t="shared" si="34"/>
        <v>3</v>
      </c>
      <c r="AA75" s="123">
        <f t="shared" si="29"/>
        <v>0</v>
      </c>
      <c r="AB75" s="123">
        <f t="shared" si="23"/>
        <v>0</v>
      </c>
      <c r="AD75" s="123">
        <f>COUNTIF(AR74:AR77,CONCATENATE("&gt;=",AR75))</f>
        <v>2</v>
      </c>
      <c r="AE75" s="124" t="str">
        <f>VLOOKUP("Croatia",T,lang,FALSE)</f>
        <v>Croatia</v>
      </c>
      <c r="AF75" s="123">
        <f>COUNTIF($S$7:$T$78,"=" &amp; AE75 &amp; "_win")</f>
        <v>2</v>
      </c>
      <c r="AG75" s="123">
        <f>COUNTIF($S$7:$T$78,"=" &amp; AE75 &amp; "_draw")</f>
        <v>0</v>
      </c>
      <c r="AH75" s="123">
        <f>COUNTIF($S$7:$T$78,"=" &amp; AE75 &amp; "_lose")</f>
        <v>1</v>
      </c>
      <c r="AI75" s="123">
        <f>SUMIF($E$7:$E$78,$AE75,$F$7:$F$78) + SUMIF($H$7:$H$78,$AE75,$G$7:$G$78)</f>
        <v>5</v>
      </c>
      <c r="AJ75" s="123">
        <f>SUMIF($E$7:$E$78,$AE75,$G$7:$G$78) + SUMIF($H$7:$H$78,$AE75,$F$7:$F$78)</f>
        <v>5</v>
      </c>
      <c r="AL75" s="123">
        <f>AI75-AJ75</f>
        <v>0</v>
      </c>
      <c r="AM75" s="123">
        <f>AL75-AL78</f>
        <v>4</v>
      </c>
      <c r="AN75" s="123">
        <f>AF75*3+AG75</f>
        <v>6</v>
      </c>
      <c r="AO75" s="123">
        <f>AN75/AN78*10+BA75</f>
        <v>7.5</v>
      </c>
      <c r="AP75" s="123">
        <f>AO75*10000000+BI75*100+AM75/AM78*10+AI75/AI78*1++IF(AQ75=0,ROW(),AQ75)/2000000</f>
        <v>75000005.159588695</v>
      </c>
      <c r="AQ75" s="126">
        <f>VLOOKUP(AE75,db_fifarank,2,FALSE)</f>
        <v>1717.07</v>
      </c>
      <c r="AR75" s="125">
        <f>AP75/AP78</f>
        <v>0.85714281083339749</v>
      </c>
      <c r="AS75" s="125" t="str">
        <f>IF(SUM(AF74:AH77)=12,J76,"2L")</f>
        <v>Croatia</v>
      </c>
      <c r="AT75" s="126" cm="1">
        <f t="array" ref="AT75">SUMPRODUCT(($S$7:$S$78=AE75&amp;"_win")*($U$7:$U$78))+SUMPRODUCT(($T$7:$T$78=AE75&amp;"_win")*($U$7:$U$78))</f>
        <v>0</v>
      </c>
      <c r="AU75" s="126" cm="1">
        <f t="array" ref="AU75">SUMPRODUCT(($S$7:$S$78=AE75&amp;"_draw")*($U$7:$U$78))+SUMPRODUCT(($T$7:$T$78=AE75&amp;"_draw")*($U$7:$U$78))</f>
        <v>0</v>
      </c>
      <c r="AV75" s="126" cm="1">
        <f t="array" ref="AV75">SUMPRODUCT(($E$7:$E$78=AE75)*($U$7:$U$78)*($F$7:$F$78))+SUMPRODUCT(($H$7:$H$78=AE75)*($U$7:$U$78)*($G$7:$G$78))</f>
        <v>0</v>
      </c>
      <c r="AW75" s="126" cm="1">
        <f t="array" ref="AW75">SUMPRODUCT(($E$7:$E$78=AE75)*($U$7:$U$78)*($G$7:$G$78))+SUMPRODUCT(($H$7:$H$78=AE75)*($U$7:$U$78)*($F$7:$F$78))</f>
        <v>0</v>
      </c>
      <c r="AX75" s="126">
        <f>AV75-AW75</f>
        <v>0</v>
      </c>
      <c r="AY75" s="126">
        <f>AX75-MIN(AX74:AX77)</f>
        <v>0</v>
      </c>
      <c r="AZ75" s="126">
        <f>AT75/AT78*1000+AU75/AU78*100+AY75/AY78*10+AV75/AV78</f>
        <v>0</v>
      </c>
      <c r="BA75" s="126">
        <f>AZ75/AZ78</f>
        <v>0</v>
      </c>
      <c r="BB75" s="126" cm="1">
        <f t="array" ref="BB75">SUMPRODUCT(($S$7:$S$78=AE75&amp;"_win")*($X$7:$X$78))+SUMPRODUCT(($T$7:$T$78=AE75&amp;"_win")*($X$7:$X$78))</f>
        <v>0</v>
      </c>
      <c r="BC75" s="126" cm="1">
        <f t="array" ref="BC75">SUMPRODUCT(($S$7:$S$78=AE75&amp;"_draw")*($X$7:$X$78))+SUMPRODUCT(($T$7:$T$78=AE75&amp;"_draw")*($X$7:$X$78))</f>
        <v>0</v>
      </c>
      <c r="BD75" s="126" cm="1">
        <f t="array" ref="BD75">SUMPRODUCT(($E$7:$E$78=AE75)*($X$7:$X$78)*($F$7:$F$78))+SUMPRODUCT(($H$7:$H$78=AE75)*($X$7:$X$78)*($G$7:$G$78))</f>
        <v>0</v>
      </c>
      <c r="BE75" s="126" cm="1">
        <f t="array" ref="BE75">SUMPRODUCT(($E$7:$E$78=AE75)*($X$7:$X$78)*($G$7:$G$78))+SUMPRODUCT(($H$7:$H$78=AE75)*($X$7:$X$78)*($F$7:$F$78))</f>
        <v>0</v>
      </c>
      <c r="BF75" s="126">
        <f>BD75-BE75</f>
        <v>0</v>
      </c>
      <c r="BG75" s="126">
        <f>BF75-MIN(BF74:BF77)</f>
        <v>0</v>
      </c>
      <c r="BH75" s="126">
        <f>BB75/BB78*1000+BC75/BC78*100+BG75/BG78*10+BD75/BD78</f>
        <v>0</v>
      </c>
      <c r="BI75" s="126">
        <f>BH75/BH78</f>
        <v>0</v>
      </c>
    </row>
    <row r="76" spans="1:95" x14ac:dyDescent="0.25">
      <c r="A76" s="16">
        <v>70</v>
      </c>
      <c r="B76" s="17" t="str" cm="1">
        <f t="array" ref="B76">INDEX(T,18+INT(MOD(R76-1,7)),lang)</f>
        <v>Sun</v>
      </c>
      <c r="C76" s="18" t="str" cm="1">
        <f t="array" ref="C76">INDEX(T,24+MONTH(R76),lang) &amp; " " &amp; DAY(R76) &amp; ", " &amp; YEAR(R76)</f>
        <v>Jun 28, 2026</v>
      </c>
      <c r="D76" s="120">
        <f t="shared" si="30"/>
        <v>0.125</v>
      </c>
      <c r="E76" s="78" t="str">
        <f>AE65</f>
        <v>Jordan</v>
      </c>
      <c r="F76" s="19">
        <v>1</v>
      </c>
      <c r="G76" s="20">
        <v>3</v>
      </c>
      <c r="H76" s="80" t="str">
        <f>AE62</f>
        <v>Argentina</v>
      </c>
      <c r="I76" s="69"/>
      <c r="J76" s="33" t="str">
        <f>VLOOKUP(2,AD74:AN77,2,FALSE)</f>
        <v>Croatia</v>
      </c>
      <c r="K76" s="23">
        <f>L76+M76+N76</f>
        <v>3</v>
      </c>
      <c r="L76" s="23">
        <f>VLOOKUP(2,AD74:AN77,3,FALSE)</f>
        <v>2</v>
      </c>
      <c r="M76" s="23">
        <f>VLOOKUP(2,AD74:AN77,4,FALSE)</f>
        <v>0</v>
      </c>
      <c r="N76" s="23">
        <f>VLOOKUP(2,AD74:AN77,5,FALSE)</f>
        <v>1</v>
      </c>
      <c r="O76" s="23" t="str">
        <f>VLOOKUP(2,AD74:AN77,6,FALSE) &amp; " - " &amp; VLOOKUP(2,AD74:AN77,7,FALSE)</f>
        <v>5 - 5</v>
      </c>
      <c r="P76" s="34">
        <f>L76*3+M76</f>
        <v>6</v>
      </c>
      <c r="R76" s="123">
        <f>DATE(2026,6,27)+TIME(15,0,0)+gmt_delta</f>
        <v>46201.125</v>
      </c>
      <c r="S76" s="127" t="str">
        <f t="shared" si="19"/>
        <v>Jordan_lose</v>
      </c>
      <c r="T76" s="127" t="str">
        <f t="shared" si="20"/>
        <v>Argentina_win</v>
      </c>
      <c r="U76" s="123">
        <f t="shared" si="31"/>
        <v>0</v>
      </c>
      <c r="V76" s="123">
        <f t="shared" si="21"/>
        <v>0</v>
      </c>
      <c r="W76" s="123">
        <f t="shared" si="22"/>
        <v>0</v>
      </c>
      <c r="X76" s="123">
        <f t="shared" si="32"/>
        <v>0</v>
      </c>
      <c r="Y76" s="123">
        <f t="shared" si="33"/>
        <v>0</v>
      </c>
      <c r="Z76" s="123">
        <f t="shared" si="34"/>
        <v>0</v>
      </c>
      <c r="AA76" s="123">
        <f t="shared" si="29"/>
        <v>0</v>
      </c>
      <c r="AB76" s="123">
        <f t="shared" si="23"/>
        <v>-1</v>
      </c>
      <c r="AD76" s="123">
        <f>COUNTIF(AR74:AR77,CONCATENATE("&gt;=",AR76))</f>
        <v>3</v>
      </c>
      <c r="AE76" s="124" t="str">
        <f>VLOOKUP("Ghana",T,lang,FALSE)</f>
        <v>Ghana</v>
      </c>
      <c r="AF76" s="123">
        <f>COUNTIF($S$7:$T$78,"=" &amp; AE76 &amp; "_win")</f>
        <v>1</v>
      </c>
      <c r="AG76" s="123">
        <f>COUNTIF($S$7:$T$78,"=" &amp; AE76 &amp; "_draw")</f>
        <v>1</v>
      </c>
      <c r="AH76" s="123">
        <f>COUNTIF($S$7:$T$78,"=" &amp; AE76 &amp; "_lose")</f>
        <v>1</v>
      </c>
      <c r="AI76" s="123">
        <f>SUMIF($E$7:$E$78,$AE76,$F$7:$F$78) + SUMIF($H$7:$H$78,$AE76,$G$7:$G$78)</f>
        <v>2</v>
      </c>
      <c r="AJ76" s="123">
        <f>SUMIF($E$7:$E$78,$AE76,$G$7:$G$78) + SUMIF($H$7:$H$78,$AE76,$F$7:$F$78)</f>
        <v>2</v>
      </c>
      <c r="AL76" s="123">
        <f>AI76-AJ76</f>
        <v>0</v>
      </c>
      <c r="AM76" s="123">
        <f>AL76-AL78</f>
        <v>4</v>
      </c>
      <c r="AN76" s="123">
        <f>AF76*3+AG76</f>
        <v>4</v>
      </c>
      <c r="AO76" s="123">
        <f>AN76/AN78*10+BA76</f>
        <v>5</v>
      </c>
      <c r="AP76" s="123">
        <f>AO76*10000000+BI76*100+AM76/AM78*10+AI76/AI78*1++IF(AQ76=0,ROW(),AQ76)/2000000</f>
        <v>50000004.730831884</v>
      </c>
      <c r="AQ76" s="126">
        <f>VLOOKUP(AE76,db_fifarank,2,FALSE)</f>
        <v>1346.31</v>
      </c>
      <c r="AR76" s="125">
        <f>AP76/AP78</f>
        <v>0.57142855531109471</v>
      </c>
      <c r="AT76" s="126" cm="1">
        <f t="array" ref="AT76">SUMPRODUCT(($S$7:$S$78=AE76&amp;"_win")*($U$7:$U$78))+SUMPRODUCT(($T$7:$T$78=AE76&amp;"_win")*($U$7:$U$78))</f>
        <v>0</v>
      </c>
      <c r="AU76" s="126" cm="1">
        <f t="array" ref="AU76">SUMPRODUCT(($S$7:$S$78=AE76&amp;"_draw")*($U$7:$U$78))+SUMPRODUCT(($T$7:$T$78=AE76&amp;"_draw")*($U$7:$U$78))</f>
        <v>0</v>
      </c>
      <c r="AV76" s="126" cm="1">
        <f t="array" ref="AV76">SUMPRODUCT(($E$7:$E$78=AE76)*($U$7:$U$78)*($F$7:$F$78))+SUMPRODUCT(($H$7:$H$78=AE76)*($U$7:$U$78)*($G$7:$G$78))</f>
        <v>0</v>
      </c>
      <c r="AW76" s="126" cm="1">
        <f t="array" ref="AW76">SUMPRODUCT(($E$7:$E$78=AE76)*($U$7:$U$78)*($G$7:$G$78))+SUMPRODUCT(($H$7:$H$78=AE76)*($U$7:$U$78)*($F$7:$F$78))</f>
        <v>0</v>
      </c>
      <c r="AX76" s="126">
        <f>AV76-AW76</f>
        <v>0</v>
      </c>
      <c r="AY76" s="126">
        <f>AX76-MIN(AX74:AX77)</f>
        <v>0</v>
      </c>
      <c r="AZ76" s="126">
        <f>AT76/AT78*1000+AU76/AU78*100+AY76/AY78*10+AV76/AV78</f>
        <v>0</v>
      </c>
      <c r="BA76" s="126">
        <f>AZ76/AZ78</f>
        <v>0</v>
      </c>
      <c r="BB76" s="126" cm="1">
        <f t="array" ref="BB76">SUMPRODUCT(($S$7:$S$78=AE76&amp;"_win")*($X$7:$X$78))+SUMPRODUCT(($T$7:$T$78=AE76&amp;"_win")*($X$7:$X$78))</f>
        <v>0</v>
      </c>
      <c r="BC76" s="126" cm="1">
        <f t="array" ref="BC76">SUMPRODUCT(($S$7:$S$78=AE76&amp;"_draw")*($X$7:$X$78))+SUMPRODUCT(($T$7:$T$78=AE76&amp;"_draw")*($X$7:$X$78))</f>
        <v>0</v>
      </c>
      <c r="BD76" s="126" cm="1">
        <f t="array" ref="BD76">SUMPRODUCT(($E$7:$E$78=AE76)*($X$7:$X$78)*($F$7:$F$78))+SUMPRODUCT(($H$7:$H$78=AE76)*($X$7:$X$78)*($G$7:$G$78))</f>
        <v>0</v>
      </c>
      <c r="BE76" s="126" cm="1">
        <f t="array" ref="BE76">SUMPRODUCT(($E$7:$E$78=AE76)*($X$7:$X$78)*($G$7:$G$78))+SUMPRODUCT(($H$7:$H$78=AE76)*($X$7:$X$78)*($F$7:$F$78))</f>
        <v>0</v>
      </c>
      <c r="BF76" s="126">
        <f>BD76-BE76</f>
        <v>0</v>
      </c>
      <c r="BG76" s="126">
        <f>BF76-MIN(BF74:BF77)</f>
        <v>0</v>
      </c>
      <c r="BH76" s="126">
        <f>BB76/BB78*1000+BC76/BC78*100+BG76/BG78*10+BD76/BD78</f>
        <v>0</v>
      </c>
      <c r="BI76" s="126">
        <f>BH76/BH78</f>
        <v>0</v>
      </c>
    </row>
    <row r="77" spans="1:95" x14ac:dyDescent="0.25">
      <c r="A77" s="16">
        <v>71</v>
      </c>
      <c r="B77" s="17" t="str" cm="1">
        <f t="array" ref="B77">INDEX(T,18+INT(MOD(R77-1,7)),lang)</f>
        <v>Sun</v>
      </c>
      <c r="C77" s="18" t="str" cm="1">
        <f t="array" ref="C77">INDEX(T,24+MONTH(R77),lang) &amp; " " &amp; DAY(R77) &amp; ", " &amp; YEAR(R77)</f>
        <v>Jun 28, 2026</v>
      </c>
      <c r="D77" s="120">
        <f t="shared" si="30"/>
        <v>2.0833333333333332E-2</v>
      </c>
      <c r="E77" s="78" t="str">
        <f>AE71</f>
        <v>Colombia</v>
      </c>
      <c r="F77" s="19">
        <v>0</v>
      </c>
      <c r="G77" s="20">
        <v>0</v>
      </c>
      <c r="H77" s="80" t="str">
        <f>AE68</f>
        <v>Portugal</v>
      </c>
      <c r="I77" s="69"/>
      <c r="J77" s="33" t="str">
        <f>VLOOKUP(3,AD74:AN77,2,FALSE)</f>
        <v>Ghana</v>
      </c>
      <c r="K77" s="23">
        <f>L77+M77+N77</f>
        <v>3</v>
      </c>
      <c r="L77" s="23">
        <f>VLOOKUP(3,AD74:AN77,3,FALSE)</f>
        <v>1</v>
      </c>
      <c r="M77" s="23">
        <f>VLOOKUP(3,AD74:AN77,4,FALSE)</f>
        <v>1</v>
      </c>
      <c r="N77" s="23">
        <f>VLOOKUP(3,AD74:AN77,5,FALSE)</f>
        <v>1</v>
      </c>
      <c r="O77" s="23" t="str">
        <f>VLOOKUP(3,AD74:AN77,6,FALSE) &amp; " - " &amp; VLOOKUP(3,AD74:AN77,7,FALSE)</f>
        <v>2 - 2</v>
      </c>
      <c r="P77" s="34">
        <f>L77*3+M77</f>
        <v>4</v>
      </c>
      <c r="R77" s="123">
        <f>DATE(2026,6,27)+TIME(12,30,0)+gmt_delta</f>
        <v>46201.020833333336</v>
      </c>
      <c r="S77" s="127" t="str">
        <f t="shared" si="19"/>
        <v>Colombia_draw</v>
      </c>
      <c r="T77" s="127" t="str">
        <f t="shared" si="20"/>
        <v>Portugal_draw</v>
      </c>
      <c r="U77" s="123">
        <f t="shared" si="31"/>
        <v>0</v>
      </c>
      <c r="V77" s="123">
        <f t="shared" si="21"/>
        <v>0</v>
      </c>
      <c r="W77" s="123">
        <f t="shared" si="22"/>
        <v>0</v>
      </c>
      <c r="X77" s="123">
        <f t="shared" si="32"/>
        <v>0</v>
      </c>
      <c r="Y77" s="123">
        <f t="shared" si="33"/>
        <v>0</v>
      </c>
      <c r="Z77" s="123">
        <f t="shared" si="34"/>
        <v>0</v>
      </c>
      <c r="AA77" s="123">
        <f t="shared" si="29"/>
        <v>0</v>
      </c>
      <c r="AB77" s="123">
        <f t="shared" si="23"/>
        <v>0</v>
      </c>
      <c r="AD77" s="123">
        <f>COUNTIF(AR74:AR77,CONCATENATE("&gt;=",AR77))</f>
        <v>4</v>
      </c>
      <c r="AE77" s="124" t="str">
        <f>VLOOKUP("Panama",T,lang,FALSE)</f>
        <v>Panama</v>
      </c>
      <c r="AF77" s="123">
        <f>COUNTIF($S$7:$T$78,"=" &amp; AE77 &amp; "_win")</f>
        <v>0</v>
      </c>
      <c r="AG77" s="123">
        <f>COUNTIF($S$7:$T$78,"=" &amp; AE77 &amp; "_draw")</f>
        <v>0</v>
      </c>
      <c r="AH77" s="123">
        <f>COUNTIF($S$7:$T$78,"=" &amp; AE77 &amp; "_lose")</f>
        <v>3</v>
      </c>
      <c r="AI77" s="123">
        <f>SUMIF($E$7:$E$78,$AE77,$F$7:$F$78) + SUMIF($H$7:$H$78,$AE77,$G$7:$G$78)</f>
        <v>0</v>
      </c>
      <c r="AJ77" s="123">
        <f>SUMIF($E$7:$E$78,$AE77,$G$7:$G$78) + SUMIF($H$7:$H$78,$AE77,$F$7:$F$78)</f>
        <v>4</v>
      </c>
      <c r="AL77" s="123">
        <f>AI77-AJ77</f>
        <v>-4</v>
      </c>
      <c r="AM77" s="123">
        <f>AL77-AL78</f>
        <v>0</v>
      </c>
      <c r="AN77" s="123">
        <f>AF77*3+AG77</f>
        <v>0</v>
      </c>
      <c r="AO77" s="123">
        <f>AN77/AN78*10+BA77</f>
        <v>0</v>
      </c>
      <c r="AP77" s="123">
        <f>AO77*10000000+BI77*100+AM77/AM78*10+AI77/AI78*1++IF(AQ77=0,ROW(),AQ77)/2000000</f>
        <v>7.7032000000000001E-4</v>
      </c>
      <c r="AQ77" s="126">
        <f>VLOOKUP(AE77,db_fifarank,2,FALSE)</f>
        <v>1540.64</v>
      </c>
      <c r="AR77" s="125">
        <f>AP77/AP78</f>
        <v>8.8036560615725139E-12</v>
      </c>
      <c r="AT77" s="126" cm="1">
        <f t="array" ref="AT77">SUMPRODUCT(($S$7:$S$78=AE77&amp;"_win")*($U$7:$U$78))+SUMPRODUCT(($T$7:$T$78=AE77&amp;"_win")*($U$7:$U$78))</f>
        <v>0</v>
      </c>
      <c r="AU77" s="126" cm="1">
        <f t="array" ref="AU77">SUMPRODUCT(($S$7:$S$78=AE77&amp;"_draw")*($U$7:$U$78))+SUMPRODUCT(($T$7:$T$78=AE77&amp;"_draw")*($U$7:$U$78))</f>
        <v>0</v>
      </c>
      <c r="AV77" s="126" cm="1">
        <f t="array" ref="AV77">SUMPRODUCT(($E$7:$E$78=AE77)*($U$7:$U$78)*($F$7:$F$78))+SUMPRODUCT(($H$7:$H$78=AE77)*($U$7:$U$78)*($G$7:$G$78))</f>
        <v>0</v>
      </c>
      <c r="AW77" s="126" cm="1">
        <f t="array" ref="AW77">SUMPRODUCT(($E$7:$E$78=AE77)*($U$7:$U$78)*($G$7:$G$78))+SUMPRODUCT(($H$7:$H$78=AE77)*($U$7:$U$78)*($F$7:$F$78))</f>
        <v>0</v>
      </c>
      <c r="AX77" s="126">
        <f>AV77-AW77</f>
        <v>0</v>
      </c>
      <c r="AY77" s="126">
        <f>AX77-MIN(AX74:AX77)</f>
        <v>0</v>
      </c>
      <c r="AZ77" s="126">
        <f>AT77/AT78*1000+AU77/AU78*100+AY77/AY78*10+AV77/AV78</f>
        <v>0</v>
      </c>
      <c r="BA77" s="126">
        <f>AZ77/AZ78</f>
        <v>0</v>
      </c>
      <c r="BB77" s="126" cm="1">
        <f t="array" ref="BB77">SUMPRODUCT(($S$7:$S$78=AE77&amp;"_win")*($X$7:$X$78))+SUMPRODUCT(($T$7:$T$78=AE77&amp;"_win")*($X$7:$X$78))</f>
        <v>0</v>
      </c>
      <c r="BC77" s="126" cm="1">
        <f t="array" ref="BC77">SUMPRODUCT(($S$7:$S$78=AE77&amp;"_draw")*($X$7:$X$78))+SUMPRODUCT(($T$7:$T$78=AE77&amp;"_draw")*($X$7:$X$78))</f>
        <v>0</v>
      </c>
      <c r="BD77" s="126" cm="1">
        <f t="array" ref="BD77">SUMPRODUCT(($E$7:$E$78=AE77)*($X$7:$X$78)*($F$7:$F$78))+SUMPRODUCT(($H$7:$H$78=AE77)*($X$7:$X$78)*($G$7:$G$78))</f>
        <v>0</v>
      </c>
      <c r="BE77" s="126" cm="1">
        <f t="array" ref="BE77">SUMPRODUCT(($E$7:$E$78=AE77)*($X$7:$X$78)*($G$7:$G$78))+SUMPRODUCT(($H$7:$H$78=AE77)*($X$7:$X$78)*($F$7:$F$78))</f>
        <v>0</v>
      </c>
      <c r="BF77" s="126">
        <f>BD77-BE77</f>
        <v>0</v>
      </c>
      <c r="BG77" s="126">
        <f>BF77-MIN(BF74:BF77)</f>
        <v>0</v>
      </c>
      <c r="BH77" s="126">
        <f>BB77/BB78*1000+BC77/BC78*100+BG77/BG78*10+BD77/BD78</f>
        <v>0</v>
      </c>
      <c r="BI77" s="126">
        <f>BH77/BH78</f>
        <v>0</v>
      </c>
    </row>
    <row r="78" spans="1:95" x14ac:dyDescent="0.25">
      <c r="A78" s="16">
        <v>72</v>
      </c>
      <c r="B78" s="17" t="str" cm="1">
        <f t="array" ref="B78">INDEX(T,18+INT(MOD(R78-1,7)),lang)</f>
        <v>Sun</v>
      </c>
      <c r="C78" s="18" t="str" cm="1">
        <f t="array" ref="C78">INDEX(T,24+MONTH(R78),lang) &amp; " " &amp; DAY(R78) &amp; ", " &amp; YEAR(R78)</f>
        <v>Jun 28, 2026</v>
      </c>
      <c r="D78" s="120">
        <f t="shared" si="30"/>
        <v>2.0833333333333332E-2</v>
      </c>
      <c r="E78" s="78" t="str">
        <f>AE69</f>
        <v>DR Congo</v>
      </c>
      <c r="F78" s="19">
        <v>3</v>
      </c>
      <c r="G78" s="20">
        <v>1</v>
      </c>
      <c r="H78" s="80" t="str">
        <f>AE70</f>
        <v>Uzbekistan</v>
      </c>
      <c r="I78" s="69"/>
      <c r="J78" s="35" t="str">
        <f>VLOOKUP(4,AD74:AN77,2,FALSE)</f>
        <v>Panama</v>
      </c>
      <c r="K78" s="36">
        <f>L78+M78+N78</f>
        <v>3</v>
      </c>
      <c r="L78" s="36">
        <f>VLOOKUP(4,AD74:AN77,3,FALSE)</f>
        <v>0</v>
      </c>
      <c r="M78" s="36">
        <f>VLOOKUP(4,AD74:AN77,4,FALSE)</f>
        <v>0</v>
      </c>
      <c r="N78" s="36">
        <f>VLOOKUP(4,AD74:AN77,5,FALSE)</f>
        <v>3</v>
      </c>
      <c r="O78" s="36" t="str">
        <f>VLOOKUP(4,AD74:AN77,6,FALSE) &amp; " - " &amp; VLOOKUP(4,AD74:AN77,7,FALSE)</f>
        <v>0 - 4</v>
      </c>
      <c r="P78" s="37">
        <f>L78*3+M78</f>
        <v>0</v>
      </c>
      <c r="R78" s="123">
        <f>DATE(2026,6,27)+TIME(12,30,0)+gmt_delta</f>
        <v>46201.020833333336</v>
      </c>
      <c r="S78" s="127" t="str">
        <f t="shared" si="19"/>
        <v>DR Congo_win</v>
      </c>
      <c r="T78" s="127" t="str">
        <f t="shared" si="20"/>
        <v>Uzbekistan_lose</v>
      </c>
      <c r="U78" s="123">
        <f t="shared" si="31"/>
        <v>0</v>
      </c>
      <c r="V78" s="123">
        <f t="shared" si="21"/>
        <v>0</v>
      </c>
      <c r="W78" s="123">
        <f t="shared" si="22"/>
        <v>0</v>
      </c>
      <c r="X78" s="123">
        <f t="shared" si="32"/>
        <v>0</v>
      </c>
      <c r="Y78" s="123">
        <f t="shared" si="33"/>
        <v>0</v>
      </c>
      <c r="Z78" s="123">
        <f t="shared" si="34"/>
        <v>0</v>
      </c>
      <c r="AA78" s="123">
        <f t="shared" si="29"/>
        <v>0</v>
      </c>
      <c r="AB78" s="123">
        <f t="shared" si="23"/>
        <v>1</v>
      </c>
      <c r="AF78" s="123">
        <f t="shared" ref="AF78:AH78" si="36">MAX(AF74:AF77)-MIN(AF74:AF77)+1</f>
        <v>3</v>
      </c>
      <c r="AG78" s="123">
        <f t="shared" si="36"/>
        <v>2</v>
      </c>
      <c r="AH78" s="123">
        <f t="shared" si="36"/>
        <v>4</v>
      </c>
      <c r="AI78" s="123">
        <f>MAX(AI74:AI77)+1</f>
        <v>7</v>
      </c>
      <c r="AL78" s="123">
        <f>MIN(AL74:AL77)</f>
        <v>-4</v>
      </c>
      <c r="AM78" s="123">
        <f>MAX(AM74:AM77)+1</f>
        <v>9</v>
      </c>
      <c r="AN78" s="123">
        <f>MAX(AN74:AN77)+1</f>
        <v>8</v>
      </c>
      <c r="AO78" s="123">
        <f>MAX(AO74:AO77)+1</f>
        <v>9.75</v>
      </c>
      <c r="AP78" s="123">
        <f>MAX(AP74:AP77)+1</f>
        <v>87500010.746944726</v>
      </c>
      <c r="AT78" s="126">
        <f>MAX(AT74:AT77)-MIN(AT74:AT77)+1</f>
        <v>1</v>
      </c>
      <c r="AU78" s="126">
        <f>MAX(AU74:AU77)-MIN(AU74:AU77)+1</f>
        <v>1</v>
      </c>
      <c r="AV78" s="126">
        <f>MAX(AV74:AV77)-MIN(AV74:AV77)+1</f>
        <v>1</v>
      </c>
      <c r="AW78" s="126">
        <f>MAX(AW74:AW77)-MIN(AW74:AW77)+1</f>
        <v>1</v>
      </c>
      <c r="AY78" s="126">
        <f>MAX(AY74:AY77)-MIN(AY74:AY77)+1</f>
        <v>1</v>
      </c>
      <c r="AZ78" s="126">
        <f>MAX(AZ74:AZ77)+1</f>
        <v>1</v>
      </c>
      <c r="BB78" s="126">
        <f>MAX(BB74:BB77)-MIN(BB74:BB77)+1</f>
        <v>1</v>
      </c>
      <c r="BC78" s="126">
        <f>MAX(BC74:BC77)-MIN(BC74:BC77)+1</f>
        <v>1</v>
      </c>
      <c r="BD78" s="126">
        <f>MAX(BD74:BD77)-MIN(BD74:BD77)+1</f>
        <v>1</v>
      </c>
      <c r="BE78" s="126">
        <f>MAX(BE74:BE77)-MIN(BE74:BE77)+1</f>
        <v>1</v>
      </c>
      <c r="BG78" s="126">
        <f>MAX(BG74:BG77)-MIN(BG74:BG77)+1</f>
        <v>1</v>
      </c>
      <c r="BH78" s="126">
        <f>MAX(BH74:BH77)+1</f>
        <v>1</v>
      </c>
    </row>
    <row r="79" spans="1:95" x14ac:dyDescent="0.25">
      <c r="A79" s="73"/>
      <c r="B79" s="73"/>
      <c r="C79" s="73"/>
      <c r="D79" s="73"/>
      <c r="E79" s="74"/>
      <c r="F79" s="71"/>
      <c r="G79" s="71"/>
      <c r="H79" s="75"/>
      <c r="I79" s="69"/>
      <c r="J79" s="72"/>
      <c r="K79" s="70"/>
      <c r="L79" s="70"/>
      <c r="M79" s="70"/>
      <c r="N79" s="70"/>
      <c r="O79" s="70"/>
      <c r="P79" s="70"/>
    </row>
    <row r="80" spans="1:95" ht="15" customHeight="1" x14ac:dyDescent="0.25">
      <c r="A80" s="73"/>
      <c r="B80" s="73"/>
      <c r="C80" s="73"/>
      <c r="D80" s="73"/>
      <c r="E80" s="74"/>
      <c r="F80" s="71"/>
      <c r="G80" s="71"/>
      <c r="H80" s="75"/>
      <c r="I80" s="69"/>
      <c r="J80" s="93" t="str">
        <f>"3rd places"</f>
        <v>3rd places</v>
      </c>
      <c r="K80" s="94" t="str" cm="1">
        <f t="array" ref="K80">INDEX(T,10,lang)</f>
        <v>PL</v>
      </c>
      <c r="L80" s="94" t="str" cm="1">
        <f t="array" ref="L80">INDEX(T,11,lang)</f>
        <v>W</v>
      </c>
      <c r="M80" s="94" t="str" cm="1">
        <f t="array" ref="M80">INDEX(T,12,lang)</f>
        <v>DRAW</v>
      </c>
      <c r="N80" s="94" t="str" cm="1">
        <f t="array" ref="N80">INDEX(T,13,lang)</f>
        <v>L</v>
      </c>
      <c r="O80" s="94" t="str" cm="1">
        <f t="array" ref="O80">INDEX(T,14,lang)</f>
        <v>GF - GA</v>
      </c>
      <c r="P80" s="95" t="str" cm="1">
        <f t="array" ref="P80">INDEX(T,15,lang)</f>
        <v>PNT</v>
      </c>
      <c r="AD80" s="123">
        <f>COUNTIF($AP$80:$AP$91,CONCATENATE("&gt;=",AP80))</f>
        <v>10</v>
      </c>
      <c r="AE80" s="124" t="str">
        <f>J11</f>
        <v>Korea Republic</v>
      </c>
      <c r="AF80" s="123">
        <f>VLOOKUP($AE80,$AE$8:$AQ$78,2,FALSE)</f>
        <v>1</v>
      </c>
      <c r="AG80" s="123">
        <f>VLOOKUP($AE80,$AE$8:$AQ$78,3,FALSE)</f>
        <v>0</v>
      </c>
      <c r="AH80" s="123">
        <f>VLOOKUP($AE80,$AE$8:$AQ$78,4,FALSE)</f>
        <v>2</v>
      </c>
      <c r="AI80" s="123">
        <f>VLOOKUP($AE80,$AE$8:$AQ$78,5,FALSE)</f>
        <v>2</v>
      </c>
      <c r="AJ80" s="123">
        <f>VLOOKUP($AE80,$AE$8:$AQ$78,6,FALSE)</f>
        <v>3</v>
      </c>
      <c r="AK80" s="123" t="s">
        <v>3180</v>
      </c>
      <c r="AL80" s="123">
        <f>VLOOKUP($AE80,$AE$8:$AQ$78,8,FALSE)</f>
        <v>-1</v>
      </c>
      <c r="AM80" s="123">
        <f>AL80-$AL$92</f>
        <v>2</v>
      </c>
      <c r="AN80" s="123">
        <f>VLOOKUP($AE80,$AE$8:$AQ$78,10,FALSE)</f>
        <v>3</v>
      </c>
      <c r="AP80" s="123">
        <f>AN80/AN92*10000+AM80/AM92*1000+AI80/AI92*100+IF(AQ80=0,ROW(),AQ80)/2000000</f>
        <v>6355.5563498855554</v>
      </c>
      <c r="AQ80" s="126">
        <f t="shared" ref="AQ80:AQ91" si="37">VLOOKUP($AE80,$AE$8:$AQ$78,13,FALSE)</f>
        <v>1588.66</v>
      </c>
      <c r="AR80" s="125" t="str">
        <f>IF(AD80&lt;=8,RIGHT(AK80,1),"")</f>
        <v/>
      </c>
      <c r="AS80" s="129" t="str">
        <f>IF(AD80&lt;=8,AE80,"")</f>
        <v/>
      </c>
      <c r="AT80" s="130" t="str">
        <f>"Ⓐ "&amp;AE80</f>
        <v>Ⓐ Korea Republic</v>
      </c>
    </row>
    <row r="81" spans="1:46" ht="15" customHeight="1" x14ac:dyDescent="0.25">
      <c r="A81" s="73"/>
      <c r="B81" s="73"/>
      <c r="C81" s="73"/>
      <c r="D81" s="73"/>
      <c r="E81" s="74"/>
      <c r="F81" s="71"/>
      <c r="G81" s="71"/>
      <c r="H81" s="75"/>
      <c r="I81" s="69"/>
      <c r="J81" s="96" t="str">
        <f>VLOOKUP(1,$AD$80:$AT$91,17,FALSE)</f>
        <v>Ⓚ DR Congo</v>
      </c>
      <c r="K81" s="97">
        <f>L81+M81+N81</f>
        <v>3</v>
      </c>
      <c r="L81" s="97">
        <f>VLOOKUP(1,$AD$80:$AN$91,3,FALSE)</f>
        <v>1</v>
      </c>
      <c r="M81" s="97">
        <f>VLOOKUP(1,$AD$80:$AN$91,4,FALSE)</f>
        <v>1</v>
      </c>
      <c r="N81" s="97">
        <f>VLOOKUP(1,$AD$80:$AN$91,5,FALSE)</f>
        <v>1</v>
      </c>
      <c r="O81" s="97" t="str">
        <f>VLOOKUP(1,$AD$80:$AN$91,6,FALSE) &amp; " - " &amp; VLOOKUP(1,$AD$80:$AN$91,7,FALSE)</f>
        <v>4 - 3</v>
      </c>
      <c r="P81" s="98">
        <f>L81*3+M81</f>
        <v>4</v>
      </c>
      <c r="AD81" s="123">
        <f t="shared" ref="AD81:AD91" si="38">COUNTIF($AP$80:$AP$91,CONCATENATE("&gt;=",AP81))</f>
        <v>5</v>
      </c>
      <c r="AE81" s="124" t="str">
        <f>J17</f>
        <v>Bosnia and Herzegovina</v>
      </c>
      <c r="AF81" s="123">
        <f t="shared" ref="AF81:AF91" si="39">VLOOKUP($AE81,$AE$8:$AQ$78,2,FALSE)</f>
        <v>1</v>
      </c>
      <c r="AG81" s="123">
        <f>VLOOKUP($AE81,$AE$8:$AQ$78,3,FALSE)</f>
        <v>1</v>
      </c>
      <c r="AH81" s="123">
        <f t="shared" ref="AH81:AH90" si="40">VLOOKUP($AE81,$AE$8:$AQ$78,4,FALSE)</f>
        <v>1</v>
      </c>
      <c r="AI81" s="123">
        <f t="shared" ref="AI81:AI90" si="41">VLOOKUP($AE81,$AE$8:$AQ$78,5,FALSE)</f>
        <v>5</v>
      </c>
      <c r="AJ81" s="123">
        <f t="shared" ref="AJ81:AJ90" si="42">VLOOKUP($AE81,$AE$8:$AQ$78,6,FALSE)</f>
        <v>6</v>
      </c>
      <c r="AK81" s="123" t="s">
        <v>3181</v>
      </c>
      <c r="AL81" s="123">
        <f t="shared" ref="AL81:AL90" si="43">VLOOKUP($AE81,$AE$8:$AQ$78,8,FALSE)</f>
        <v>-1</v>
      </c>
      <c r="AM81" s="123">
        <f t="shared" ref="AM81:AM91" si="44">AL81-$AL$92</f>
        <v>2</v>
      </c>
      <c r="AN81" s="123">
        <f t="shared" ref="AN81:AN90" si="45">VLOOKUP($AE81,$AE$8:$AQ$78,10,FALSE)</f>
        <v>4</v>
      </c>
      <c r="AP81" s="123">
        <f>AN81/AN92*10000+AM81/AM92*1000+AI81/AI92*100+IF(AQ81=0,ROW(),AQ81)/2000000</f>
        <v>8388.8895818088895</v>
      </c>
      <c r="AQ81" s="126">
        <f t="shared" si="37"/>
        <v>1385.84</v>
      </c>
      <c r="AR81" s="125" t="str">
        <f>AR80&amp;IF(AD81&lt;=8,RIGHT(AK81,1),"")</f>
        <v>B</v>
      </c>
      <c r="AS81" s="129" t="str">
        <f t="shared" ref="AS81:AS91" si="46">IF(AD81&lt;=8,AE81,"")</f>
        <v>Bosnia and Herzegovina</v>
      </c>
      <c r="AT81" s="130" t="str">
        <f>"Ⓑ "&amp;AE81</f>
        <v>Ⓑ Bosnia and Herzegovina</v>
      </c>
    </row>
    <row r="82" spans="1:46" ht="15" customHeight="1" x14ac:dyDescent="0.25">
      <c r="A82" s="73"/>
      <c r="B82" s="73"/>
      <c r="C82" s="73"/>
      <c r="D82" s="73"/>
      <c r="E82" s="74"/>
      <c r="F82" s="71"/>
      <c r="G82" s="71"/>
      <c r="H82" s="75"/>
      <c r="I82" s="69"/>
      <c r="J82" s="99" t="str">
        <f>VLOOKUP(2,$AD$80:$AT$91,17,FALSE)</f>
        <v>Ⓕ Sweden</v>
      </c>
      <c r="K82" s="100">
        <f t="shared" ref="K82:K92" si="47">L82+M82+N82</f>
        <v>3</v>
      </c>
      <c r="L82" s="100">
        <f>VLOOKUP(2,$AD$80:$AN$91,3,FALSE)</f>
        <v>1</v>
      </c>
      <c r="M82" s="100">
        <f>VLOOKUP(2,$AD$80:$AN$91,4,FALSE)</f>
        <v>1</v>
      </c>
      <c r="N82" s="100">
        <f>VLOOKUP(2,$AD$80:$AN$91,5,FALSE)</f>
        <v>1</v>
      </c>
      <c r="O82" s="100" t="str">
        <f>VLOOKUP(2,$AD$80:$AN$91,6,FALSE) &amp; " - " &amp; VLOOKUP(2,$AD$80:$AN$91,7,FALSE)</f>
        <v>7 - 7</v>
      </c>
      <c r="P82" s="101">
        <f t="shared" ref="P82:P92" si="48">L82*3+M82</f>
        <v>4</v>
      </c>
      <c r="AD82" s="123">
        <f t="shared" si="38"/>
        <v>11</v>
      </c>
      <c r="AE82" s="124" t="str">
        <f>J23</f>
        <v>Scotland</v>
      </c>
      <c r="AF82" s="123">
        <f t="shared" si="39"/>
        <v>1</v>
      </c>
      <c r="AG82" s="123">
        <f t="shared" ref="AG82:AG91" si="49">VLOOKUP($AE82,$AE$8:$AQ$78,3,FALSE)</f>
        <v>0</v>
      </c>
      <c r="AH82" s="123">
        <f t="shared" si="40"/>
        <v>2</v>
      </c>
      <c r="AI82" s="123">
        <f t="shared" si="41"/>
        <v>1</v>
      </c>
      <c r="AJ82" s="123">
        <f t="shared" si="42"/>
        <v>4</v>
      </c>
      <c r="AK82" s="123" t="s">
        <v>3182</v>
      </c>
      <c r="AL82" s="123">
        <f t="shared" si="43"/>
        <v>-3</v>
      </c>
      <c r="AM82" s="123">
        <f t="shared" si="44"/>
        <v>0</v>
      </c>
      <c r="AN82" s="123">
        <f t="shared" si="45"/>
        <v>3</v>
      </c>
      <c r="AP82" s="123">
        <f>AN82/AN92*10000+AM82/AM92*1000+AI82/AI92*100+IF(AQ82=0,ROW(),AQ82)/2000000</f>
        <v>6011.1118602861116</v>
      </c>
      <c r="AQ82" s="126">
        <f t="shared" si="37"/>
        <v>1498.35</v>
      </c>
      <c r="AR82" s="125" t="str">
        <f t="shared" ref="AR82:AR91" si="50">AR81&amp;IF(AD82&lt;=8,RIGHT(AK82,1),"")</f>
        <v>B</v>
      </c>
      <c r="AS82" s="129" t="str">
        <f t="shared" si="46"/>
        <v/>
      </c>
      <c r="AT82" s="130" t="str">
        <f>"Ⓒ "&amp;AE82</f>
        <v>Ⓒ Scotland</v>
      </c>
    </row>
    <row r="83" spans="1:46" ht="15" customHeight="1" x14ac:dyDescent="0.25">
      <c r="A83" s="73"/>
      <c r="B83" s="73"/>
      <c r="C83" s="154" t="s">
        <v>3183</v>
      </c>
      <c r="D83" s="155"/>
      <c r="E83" s="155"/>
      <c r="F83" s="155"/>
      <c r="G83" s="156"/>
      <c r="H83" s="75"/>
      <c r="I83" s="69"/>
      <c r="J83" s="99" t="str">
        <f>VLOOKUP(3,$AD$80:$AT$91,17,FALSE)</f>
        <v>Ⓔ Ecuador</v>
      </c>
      <c r="K83" s="100">
        <f t="shared" si="47"/>
        <v>3</v>
      </c>
      <c r="L83" s="100">
        <f>VLOOKUP(3,$AD$80:$AN$91,3,FALSE)</f>
        <v>1</v>
      </c>
      <c r="M83" s="100">
        <f>VLOOKUP(3,$AD$80:$AN$91,4,FALSE)</f>
        <v>1</v>
      </c>
      <c r="N83" s="100">
        <f>VLOOKUP(3,$AD$80:$AN$91,5,FALSE)</f>
        <v>1</v>
      </c>
      <c r="O83" s="100" t="str">
        <f>VLOOKUP(3,$AD$80:$AN$91,6,FALSE) &amp; " - " &amp; VLOOKUP(3,$AD$80:$AN$91,7,FALSE)</f>
        <v>2 - 2</v>
      </c>
      <c r="P83" s="101">
        <f t="shared" si="48"/>
        <v>4</v>
      </c>
      <c r="AD83" s="123">
        <f t="shared" si="38"/>
        <v>7</v>
      </c>
      <c r="AE83" s="124" t="str">
        <f>J29</f>
        <v>Paraguay</v>
      </c>
      <c r="AF83" s="123">
        <f t="shared" si="39"/>
        <v>1</v>
      </c>
      <c r="AG83" s="123">
        <f t="shared" si="49"/>
        <v>1</v>
      </c>
      <c r="AH83" s="123">
        <f t="shared" si="40"/>
        <v>1</v>
      </c>
      <c r="AI83" s="123">
        <f t="shared" si="41"/>
        <v>2</v>
      </c>
      <c r="AJ83" s="123">
        <f t="shared" si="42"/>
        <v>4</v>
      </c>
      <c r="AK83" s="123" t="s">
        <v>3184</v>
      </c>
      <c r="AL83" s="123">
        <f t="shared" si="43"/>
        <v>-2</v>
      </c>
      <c r="AM83" s="123">
        <f t="shared" si="44"/>
        <v>1</v>
      </c>
      <c r="AN83" s="123">
        <f t="shared" si="45"/>
        <v>4</v>
      </c>
      <c r="AP83" s="123">
        <f>AN83/AN92*10000+AM83/AM92*1000+AI83/AI92*100+IF(AQ83=0,ROW(),AQ83)/2000000</f>
        <v>8188.8896406388894</v>
      </c>
      <c r="AQ83" s="126">
        <f t="shared" si="37"/>
        <v>1503.5</v>
      </c>
      <c r="AR83" s="125" t="str">
        <f t="shared" si="50"/>
        <v>BD</v>
      </c>
      <c r="AS83" s="129" t="str">
        <f t="shared" si="46"/>
        <v>Paraguay</v>
      </c>
      <c r="AT83" s="130" t="str">
        <f>"Ⓓ "&amp;AE83</f>
        <v>Ⓓ Paraguay</v>
      </c>
    </row>
    <row r="84" spans="1:46" ht="15" customHeight="1" x14ac:dyDescent="0.25">
      <c r="A84" s="73"/>
      <c r="B84" s="73"/>
      <c r="C84" s="157"/>
      <c r="D84" s="158"/>
      <c r="E84" s="158"/>
      <c r="F84" s="158"/>
      <c r="G84" s="159"/>
      <c r="H84" s="75"/>
      <c r="I84" s="69"/>
      <c r="J84" s="99" t="str">
        <f>VLOOKUP(4,$AD$80:$AT$91,17,FALSE)</f>
        <v>Ⓛ Ghana</v>
      </c>
      <c r="K84" s="100">
        <f t="shared" si="47"/>
        <v>3</v>
      </c>
      <c r="L84" s="100">
        <f>VLOOKUP(4,$AD$80:$AN$91,3,FALSE)</f>
        <v>1</v>
      </c>
      <c r="M84" s="100">
        <f>VLOOKUP(4,$AD$80:$AN$91,4,FALSE)</f>
        <v>1</v>
      </c>
      <c r="N84" s="100">
        <f>VLOOKUP(4,$AD$80:$AN$91,5,FALSE)</f>
        <v>1</v>
      </c>
      <c r="O84" s="100" t="str">
        <f>VLOOKUP(4,$AD$80:$AN$91,6,FALSE) &amp; " - " &amp; VLOOKUP(4,$AD$80:$AN$91,7,FALSE)</f>
        <v>2 - 2</v>
      </c>
      <c r="P84" s="101">
        <f t="shared" si="48"/>
        <v>4</v>
      </c>
      <c r="R84" s="123">
        <f>DATE(2026,12,3)+TIME(4,0,0)+gmt_delta</f>
        <v>46359.666666666664</v>
      </c>
      <c r="S84" s="127" t="str">
        <f>IF(OR(BM10="",BM11=""),"",IF(BM10&gt;BM11,BL10,IF(BM10&lt;BM11,BL11,IF(OR(BN10="",BN11=""),"draw",IF(BN10&gt;BN11,BL10,IF(BN10&lt;BN11,BL11,IF(OR(BO10="",BO11=""),"draw",IF(BO10&gt;BO11,BL10,IF(BO10&lt;BO11,BL11,"draw")))))))))</f>
        <v>Paraguay</v>
      </c>
      <c r="T84" s="127" t="str" cm="1">
        <f t="array" ref="T84">IF(OR(S84="",S84="draw"),INDEX(T,86,lang),S84)</f>
        <v>Paraguay</v>
      </c>
      <c r="AD84" s="123">
        <f t="shared" si="38"/>
        <v>3</v>
      </c>
      <c r="AE84" s="124" t="str">
        <f>J35</f>
        <v>Ecuador</v>
      </c>
      <c r="AF84" s="123">
        <f t="shared" si="39"/>
        <v>1</v>
      </c>
      <c r="AG84" s="123">
        <f t="shared" si="49"/>
        <v>1</v>
      </c>
      <c r="AH84" s="123">
        <f t="shared" si="40"/>
        <v>1</v>
      </c>
      <c r="AI84" s="123">
        <f t="shared" si="41"/>
        <v>2</v>
      </c>
      <c r="AJ84" s="123">
        <f t="shared" si="42"/>
        <v>2</v>
      </c>
      <c r="AK84" s="123" t="s">
        <v>3185</v>
      </c>
      <c r="AL84" s="123">
        <f t="shared" si="43"/>
        <v>0</v>
      </c>
      <c r="AM84" s="123">
        <f t="shared" si="44"/>
        <v>3</v>
      </c>
      <c r="AN84" s="123">
        <f t="shared" si="45"/>
        <v>4</v>
      </c>
      <c r="AP84" s="123">
        <f>AN84/AN92*10000+AM84/AM92*1000+AI84/AI92*100+IF(AQ84=0,ROW(),AQ84)/2000000</f>
        <v>8522.2230196122218</v>
      </c>
      <c r="AQ84" s="126">
        <f t="shared" si="37"/>
        <v>1594.78</v>
      </c>
      <c r="AR84" s="125" t="str">
        <f t="shared" si="50"/>
        <v>BDE</v>
      </c>
      <c r="AS84" s="129" t="str">
        <f t="shared" si="46"/>
        <v>Ecuador</v>
      </c>
      <c r="AT84" s="130" t="str">
        <f>"Ⓔ "&amp;AE84</f>
        <v>Ⓔ Ecuador</v>
      </c>
    </row>
    <row r="85" spans="1:46" ht="15" customHeight="1" x14ac:dyDescent="0.25">
      <c r="A85" s="73"/>
      <c r="B85" s="73"/>
      <c r="C85" s="157"/>
      <c r="D85" s="158"/>
      <c r="E85" s="158"/>
      <c r="F85" s="158"/>
      <c r="G85" s="159"/>
      <c r="H85" s="75"/>
      <c r="I85" s="69"/>
      <c r="J85" s="99" t="str">
        <f>VLOOKUP(5,$AD$80:$AT$91,17,FALSE)</f>
        <v>Ⓑ Bosnia and Herzegovina</v>
      </c>
      <c r="K85" s="100">
        <f t="shared" si="47"/>
        <v>3</v>
      </c>
      <c r="L85" s="100">
        <f>VLOOKUP(5,$AD$80:$AN$91,3,FALSE)</f>
        <v>1</v>
      </c>
      <c r="M85" s="100">
        <f>VLOOKUP(5,$AD$80:$AN$91,4,FALSE)</f>
        <v>1</v>
      </c>
      <c r="N85" s="100">
        <f>VLOOKUP(5,$AD$80:$AN$91,5,FALSE)</f>
        <v>1</v>
      </c>
      <c r="O85" s="100" t="str">
        <f>VLOOKUP(5,$AD$80:$AN$91,6,FALSE) &amp; " - " &amp; VLOOKUP(5,$AD$80:$AN$91,7,FALSE)</f>
        <v>5 - 6</v>
      </c>
      <c r="P85" s="101">
        <f t="shared" si="48"/>
        <v>4</v>
      </c>
      <c r="R85" s="123">
        <f>DATE(2026,12,3)+TIME(8,0,0)+gmt_delta</f>
        <v>46359.833333333336</v>
      </c>
      <c r="S85" s="127" t="str">
        <f>IF(OR(BM14="",BM15=""),"",IF(BM14&gt;BM15,BL14,IF(BM14&lt;BM15,BL15,IF(OR(BN14="",BN15=""),"draw",IF(BN14&gt;BN15,BL14,IF(BN14&lt;BN15,BL15,IF(OR(BO14="",BO15=""),"draw",IF(BO14&gt;BO15,BL14,IF(BO14&lt;BO15,BL15,"draw")))))))))</f>
        <v>France</v>
      </c>
      <c r="T85" s="127" t="str" cm="1">
        <f t="array" ref="T85">IF(OR(S85="",S85="draw"),INDEX(T,87,lang),S85)</f>
        <v>France</v>
      </c>
      <c r="AD85" s="123">
        <f t="shared" si="38"/>
        <v>2</v>
      </c>
      <c r="AE85" s="124" t="str">
        <f>J41</f>
        <v>Sweden</v>
      </c>
      <c r="AF85" s="123">
        <f t="shared" si="39"/>
        <v>1</v>
      </c>
      <c r="AG85" s="123">
        <f t="shared" si="49"/>
        <v>1</v>
      </c>
      <c r="AH85" s="123">
        <f t="shared" si="40"/>
        <v>1</v>
      </c>
      <c r="AI85" s="123">
        <f t="shared" si="41"/>
        <v>7</v>
      </c>
      <c r="AJ85" s="123">
        <f t="shared" si="42"/>
        <v>7</v>
      </c>
      <c r="AK85" s="123" t="s">
        <v>3186</v>
      </c>
      <c r="AL85" s="123">
        <f t="shared" si="43"/>
        <v>0</v>
      </c>
      <c r="AM85" s="123">
        <f t="shared" si="44"/>
        <v>3</v>
      </c>
      <c r="AN85" s="123">
        <f t="shared" si="45"/>
        <v>4</v>
      </c>
      <c r="AP85" s="123">
        <f>AN85/AN92*10000+AM85/AM92*1000+AI85/AI92*100+IF(AQ85=0,ROW(),AQ85)/2000000</f>
        <v>8577.7785351627772</v>
      </c>
      <c r="AQ85" s="126">
        <f t="shared" si="37"/>
        <v>1514.77</v>
      </c>
      <c r="AR85" s="125" t="str">
        <f t="shared" si="50"/>
        <v>BDEF</v>
      </c>
      <c r="AS85" s="129" t="str">
        <f t="shared" si="46"/>
        <v>Sweden</v>
      </c>
      <c r="AT85" s="130" t="str">
        <f>"Ⓕ "&amp;AE85</f>
        <v>Ⓕ Sweden</v>
      </c>
    </row>
    <row r="86" spans="1:46" ht="15" customHeight="1" x14ac:dyDescent="0.25">
      <c r="A86" s="73"/>
      <c r="B86" s="73"/>
      <c r="C86" s="157"/>
      <c r="D86" s="158"/>
      <c r="E86" s="158"/>
      <c r="F86" s="158"/>
      <c r="G86" s="159"/>
      <c r="H86" s="75"/>
      <c r="I86" s="69"/>
      <c r="J86" s="99" t="str">
        <f>VLOOKUP(6,$AD$80:$AT$91,17,FALSE)</f>
        <v>Ⓙ Algeria</v>
      </c>
      <c r="K86" s="100">
        <f t="shared" si="47"/>
        <v>3</v>
      </c>
      <c r="L86" s="100">
        <f>VLOOKUP(6,$AD$80:$AN$91,3,FALSE)</f>
        <v>1</v>
      </c>
      <c r="M86" s="100">
        <f>VLOOKUP(6,$AD$80:$AN$91,4,FALSE)</f>
        <v>1</v>
      </c>
      <c r="N86" s="100">
        <f>VLOOKUP(6,$AD$80:$AN$91,5,FALSE)</f>
        <v>1</v>
      </c>
      <c r="O86" s="100" t="str">
        <f>VLOOKUP(6,$AD$80:$AN$91,6,FALSE) &amp; " - " &amp; VLOOKUP(6,$AD$80:$AN$91,7,FALSE)</f>
        <v>5 - 7</v>
      </c>
      <c r="P86" s="101">
        <f t="shared" si="48"/>
        <v>4</v>
      </c>
      <c r="R86" s="123">
        <f>DATE(2026,12,4)+TIME(8,0,0)+gmt_delta</f>
        <v>46360.833333333336</v>
      </c>
      <c r="S86" s="127" t="str">
        <f>IF(OR(BM26="",BM27=""),"",IF(BM26&gt;BM27,BL26,IF(BM26&lt;BM27,BL27,IF(OR(BN26="",BN27=""),"draw",IF(BN26&gt;BN27,BL26,IF(BN26&lt;BN27,BL27,IF(OR(BO26="",BO27=""),"draw",IF(BO26&gt;BO27,BL26,IF(BO26&lt;BO27,BL27,"draw")))))))))</f>
        <v>Portugal</v>
      </c>
      <c r="T86" s="127" t="str" cm="1">
        <f t="array" ref="T86">IF(OR(S86="",S86="draw"),INDEX(T,88,lang),S86)</f>
        <v>Portugal</v>
      </c>
      <c r="AD86" s="123">
        <f t="shared" si="38"/>
        <v>9</v>
      </c>
      <c r="AE86" s="124" t="str">
        <f>J47</f>
        <v>Iran</v>
      </c>
      <c r="AF86" s="123">
        <f t="shared" si="39"/>
        <v>0</v>
      </c>
      <c r="AG86" s="123">
        <f t="shared" si="49"/>
        <v>3</v>
      </c>
      <c r="AH86" s="123">
        <f t="shared" si="40"/>
        <v>0</v>
      </c>
      <c r="AI86" s="123">
        <f t="shared" si="41"/>
        <v>3</v>
      </c>
      <c r="AJ86" s="123">
        <f t="shared" si="42"/>
        <v>3</v>
      </c>
      <c r="AK86" s="123" t="s">
        <v>3187</v>
      </c>
      <c r="AL86" s="123">
        <f t="shared" si="43"/>
        <v>0</v>
      </c>
      <c r="AM86" s="123">
        <f t="shared" si="44"/>
        <v>3</v>
      </c>
      <c r="AN86" s="123">
        <f t="shared" si="45"/>
        <v>3</v>
      </c>
      <c r="AP86" s="123">
        <f>AN86/AN92*10000+AM86/AM92*1000+AI86/AI92*100+IF(AQ86=0,ROW(),AQ86)/2000000</f>
        <v>6533.3341409833329</v>
      </c>
      <c r="AQ86" s="126">
        <f t="shared" si="37"/>
        <v>1615.3</v>
      </c>
      <c r="AR86" s="125" t="str">
        <f t="shared" si="50"/>
        <v>BDEF</v>
      </c>
      <c r="AS86" s="129" t="str">
        <f t="shared" si="46"/>
        <v/>
      </c>
      <c r="AT86" s="130" t="str">
        <f>"Ⓖ "&amp;AE86</f>
        <v>Ⓖ Iran</v>
      </c>
    </row>
    <row r="87" spans="1:46" ht="15" customHeight="1" x14ac:dyDescent="0.25">
      <c r="A87" s="73"/>
      <c r="B87" s="73"/>
      <c r="C87" s="157"/>
      <c r="D87" s="158"/>
      <c r="E87" s="158"/>
      <c r="F87" s="158"/>
      <c r="G87" s="159"/>
      <c r="H87" s="75"/>
      <c r="I87" s="69"/>
      <c r="J87" s="99" t="str">
        <f>VLOOKUP(7,$AD$80:$AT$91,17,FALSE)</f>
        <v>Ⓓ Paraguay</v>
      </c>
      <c r="K87" s="100">
        <f t="shared" si="47"/>
        <v>3</v>
      </c>
      <c r="L87" s="100">
        <f>VLOOKUP(7,$AD$80:$AN$91,3,FALSE)</f>
        <v>1</v>
      </c>
      <c r="M87" s="100">
        <f>VLOOKUP(7,$AD$80:$AN$91,4,FALSE)</f>
        <v>1</v>
      </c>
      <c r="N87" s="100">
        <f>VLOOKUP(7,$AD$80:$AN$91,5,FALSE)</f>
        <v>1</v>
      </c>
      <c r="O87" s="100" t="str">
        <f>VLOOKUP(7,$AD$80:$AN$91,6,FALSE) &amp; " - " &amp; VLOOKUP(7,$AD$80:$AN$91,7,FALSE)</f>
        <v>2 - 4</v>
      </c>
      <c r="P87" s="101">
        <f t="shared" si="48"/>
        <v>4</v>
      </c>
      <c r="R87" s="123">
        <f>DATE(2026,12,4)+TIME(4,0,0)+gmt_delta</f>
        <v>46360.666666666664</v>
      </c>
      <c r="S87" s="127" t="str">
        <f>IF(OR(BM30="",BM31=""),"",IF(BM30&gt;BM31,BL30,IF(BM30&lt;BM31,BL31,IF(OR(BN30="",BN31=""),"draw",IF(BN30&gt;BN31,BL30,IF(BN30&lt;BN31,BL31,IF(OR(BO30="",BO31=""),"draw",IF(BO30&gt;BO31,BL30,IF(BO30&lt;BO31,BL31,"draw")))))))))</f>
        <v>Spain</v>
      </c>
      <c r="T87" s="127" t="str" cm="1">
        <f t="array" ref="T87">IF(OR(S87="",S87="draw"),INDEX(T,89,lang),S87)</f>
        <v>Spain</v>
      </c>
      <c r="AD87" s="123">
        <f t="shared" si="38"/>
        <v>12</v>
      </c>
      <c r="AE87" s="124" t="str">
        <f>J53</f>
        <v>Uruguay</v>
      </c>
      <c r="AF87" s="123">
        <f t="shared" si="39"/>
        <v>0</v>
      </c>
      <c r="AG87" s="123">
        <f t="shared" si="49"/>
        <v>2</v>
      </c>
      <c r="AH87" s="123">
        <f t="shared" si="40"/>
        <v>1</v>
      </c>
      <c r="AI87" s="123">
        <f t="shared" si="41"/>
        <v>3</v>
      </c>
      <c r="AJ87" s="123">
        <f t="shared" si="42"/>
        <v>4</v>
      </c>
      <c r="AK87" s="123" t="s">
        <v>3188</v>
      </c>
      <c r="AL87" s="123">
        <f t="shared" si="43"/>
        <v>-1</v>
      </c>
      <c r="AM87" s="123">
        <f t="shared" si="44"/>
        <v>2</v>
      </c>
      <c r="AN87" s="123">
        <f t="shared" si="45"/>
        <v>2</v>
      </c>
      <c r="AP87" s="123">
        <f>AN87/AN92*10000+AM87/AM92*1000+AI87/AI92*100+IF(AQ87=0,ROW(),AQ87)/2000000</f>
        <v>4366.6675032016665</v>
      </c>
      <c r="AQ87" s="126">
        <f t="shared" si="37"/>
        <v>1673.07</v>
      </c>
      <c r="AR87" s="125" t="str">
        <f t="shared" si="50"/>
        <v>BDEF</v>
      </c>
      <c r="AS87" s="129" t="str">
        <f t="shared" si="46"/>
        <v/>
      </c>
      <c r="AT87" s="130" t="str">
        <f>"Ⓗ "&amp;AE87</f>
        <v>Ⓗ Uruguay</v>
      </c>
    </row>
    <row r="88" spans="1:46" ht="15" customHeight="1" x14ac:dyDescent="0.25">
      <c r="A88" s="73"/>
      <c r="B88" s="73"/>
      <c r="C88" s="160"/>
      <c r="D88" s="161"/>
      <c r="E88" s="161"/>
      <c r="F88" s="161"/>
      <c r="G88" s="162"/>
      <c r="H88" s="75"/>
      <c r="I88" s="69"/>
      <c r="J88" s="99" t="str">
        <f>VLOOKUP(8,$AD$80:$AT$91,17,FALSE)</f>
        <v>Ⓘ Senegal</v>
      </c>
      <c r="K88" s="100">
        <f t="shared" si="47"/>
        <v>3</v>
      </c>
      <c r="L88" s="100">
        <f>VLOOKUP(8,$AD$80:$AN$91,3,FALSE)</f>
        <v>1</v>
      </c>
      <c r="M88" s="100">
        <f>VLOOKUP(8,$AD$80:$AN$91,4,FALSE)</f>
        <v>0</v>
      </c>
      <c r="N88" s="100">
        <f>VLOOKUP(8,$AD$80:$AN$91,5,FALSE)</f>
        <v>2</v>
      </c>
      <c r="O88" s="100" t="str">
        <f>VLOOKUP(8,$AD$80:$AN$91,6,FALSE) &amp; " - " &amp; VLOOKUP(8,$AD$80:$AN$91,7,FALSE)</f>
        <v>8 - 6</v>
      </c>
      <c r="P88" s="101">
        <f t="shared" si="48"/>
        <v>3</v>
      </c>
      <c r="R88" s="123">
        <f>DATE(2026,12,5)+TIME(4,0,0)+gmt_delta</f>
        <v>46361.666666666664</v>
      </c>
      <c r="S88" s="127" t="str">
        <f>IF(OR(BM18="",BM19=""),"",IF(BM18&gt;BM19,BL18,IF(BM18&lt;BM19,BL19,IF(OR(BN18="",BN19=""),"draw",IF(BN18&gt;BN19,BL18,IF(BN18&lt;BN19,BL19,IF(OR(BO18="",BO19=""),"draw",IF(BO18&gt;BO19,BL18,IF(BO18&lt;BO19,BL19,"draw")))))))))</f>
        <v>Canada</v>
      </c>
      <c r="T88" s="127" t="str" cm="1">
        <f t="array" ref="T88">IF(OR(S88="",S88="draw"),INDEX(T,90,lang),S88)</f>
        <v>Canada</v>
      </c>
      <c r="AD88" s="123">
        <f t="shared" si="38"/>
        <v>8</v>
      </c>
      <c r="AE88" s="124" t="str">
        <f>J59</f>
        <v>Senegal</v>
      </c>
      <c r="AF88" s="123">
        <f t="shared" si="39"/>
        <v>1</v>
      </c>
      <c r="AG88" s="123">
        <f t="shared" si="49"/>
        <v>0</v>
      </c>
      <c r="AH88" s="123">
        <f t="shared" si="40"/>
        <v>2</v>
      </c>
      <c r="AI88" s="123">
        <f t="shared" si="41"/>
        <v>8</v>
      </c>
      <c r="AJ88" s="123">
        <f t="shared" si="42"/>
        <v>6</v>
      </c>
      <c r="AK88" s="123" t="s">
        <v>3189</v>
      </c>
      <c r="AL88" s="123">
        <f t="shared" si="43"/>
        <v>2</v>
      </c>
      <c r="AM88" s="123">
        <f t="shared" si="44"/>
        <v>5</v>
      </c>
      <c r="AN88" s="123">
        <f t="shared" si="45"/>
        <v>3</v>
      </c>
      <c r="AP88" s="123">
        <f>AN88/AN92*10000+AM88/AM92*1000+AI88/AI92*100+IF(AQ88=0,ROW(),AQ88)/2000000</f>
        <v>6922.2230667172216</v>
      </c>
      <c r="AQ88" s="126">
        <f t="shared" si="37"/>
        <v>1688.99</v>
      </c>
      <c r="AR88" s="125" t="str">
        <f t="shared" si="50"/>
        <v>BDEFI</v>
      </c>
      <c r="AS88" s="129" t="str">
        <f t="shared" si="46"/>
        <v>Senegal</v>
      </c>
      <c r="AT88" s="130" t="str">
        <f>"Ⓘ "&amp;AE88</f>
        <v>Ⓘ Senegal</v>
      </c>
    </row>
    <row r="89" spans="1:46" ht="15" customHeight="1" x14ac:dyDescent="0.25">
      <c r="A89" s="73"/>
      <c r="B89" s="73"/>
      <c r="C89" s="73"/>
      <c r="D89" s="73"/>
      <c r="E89" s="74"/>
      <c r="F89" s="71"/>
      <c r="G89" s="71"/>
      <c r="H89" s="75"/>
      <c r="I89" s="69"/>
      <c r="J89" s="102" t="str">
        <f>VLOOKUP(9,$AD$80:$AT$91,17,FALSE)</f>
        <v>Ⓖ Iran</v>
      </c>
      <c r="K89" s="103">
        <f t="shared" si="47"/>
        <v>3</v>
      </c>
      <c r="L89" s="103">
        <f>VLOOKUP(9,$AD$80:$AN$91,3,FALSE)</f>
        <v>0</v>
      </c>
      <c r="M89" s="103">
        <f>VLOOKUP(9,$AD$80:$AN$91,4,FALSE)</f>
        <v>3</v>
      </c>
      <c r="N89" s="103">
        <f>VLOOKUP(9,$AD$80:$AN$91,5,FALSE)</f>
        <v>0</v>
      </c>
      <c r="O89" s="103" t="str">
        <f>VLOOKUP(9,$AD$80:$AN$91,6,FALSE) &amp; " - " &amp; VLOOKUP(9,$AD$80:$AN$91,7,FALSE)</f>
        <v>3 - 3</v>
      </c>
      <c r="P89" s="104">
        <f t="shared" si="48"/>
        <v>3</v>
      </c>
      <c r="R89" s="123">
        <f>DATE(2026,12,5)+TIME(8,0,0)+gmt_delta</f>
        <v>46361.833333333336</v>
      </c>
      <c r="S89" s="127" t="str">
        <f>IF(OR(BM22="",BM23=""),"",IF(BM22&gt;BM23,BL22,IF(BM22&lt;BM23,BL23,IF(OR(BN22="",BN23=""),"draw",IF(BN22&gt;BN23,BL22,IF(BN22&lt;BN23,BL23,IF(OR(BO22="",BO23=""),"draw",IF(BO22&gt;BO23,BL22,IF(BO22&lt;BO23,BL23,"draw")))))))))</f>
        <v>Morocco</v>
      </c>
      <c r="T89" s="127" t="str" cm="1">
        <f t="array" ref="T89">IF(OR(S89="",S89="draw"),INDEX(T,91,lang),S89)</f>
        <v>Morocco</v>
      </c>
      <c r="AD89" s="123">
        <f t="shared" si="38"/>
        <v>6</v>
      </c>
      <c r="AE89" s="124" t="str">
        <f>J65</f>
        <v>Algeria</v>
      </c>
      <c r="AF89" s="123">
        <f t="shared" si="39"/>
        <v>1</v>
      </c>
      <c r="AG89" s="123">
        <f t="shared" si="49"/>
        <v>1</v>
      </c>
      <c r="AH89" s="123">
        <f t="shared" si="40"/>
        <v>1</v>
      </c>
      <c r="AI89" s="123">
        <f t="shared" si="41"/>
        <v>5</v>
      </c>
      <c r="AJ89" s="123">
        <f t="shared" si="42"/>
        <v>7</v>
      </c>
      <c r="AK89" s="123" t="s">
        <v>3190</v>
      </c>
      <c r="AL89" s="123">
        <f t="shared" si="43"/>
        <v>-2</v>
      </c>
      <c r="AM89" s="123">
        <f t="shared" si="44"/>
        <v>1</v>
      </c>
      <c r="AN89" s="123">
        <f t="shared" si="45"/>
        <v>4</v>
      </c>
      <c r="AP89" s="123">
        <f>AN89/AN92*10000+AM89/AM92*1000+AI89/AI92*100+IF(AQ89=0,ROW(),AQ89)/2000000</f>
        <v>8222.2230043522231</v>
      </c>
      <c r="AQ89" s="126">
        <f t="shared" si="37"/>
        <v>1564.26</v>
      </c>
      <c r="AR89" s="125" t="str">
        <f t="shared" si="50"/>
        <v>BDEFIJ</v>
      </c>
      <c r="AS89" s="129" t="str">
        <f t="shared" si="46"/>
        <v>Algeria</v>
      </c>
      <c r="AT89" s="130" t="str">
        <f>"Ⓙ "&amp;AE89</f>
        <v>Ⓙ Algeria</v>
      </c>
    </row>
    <row r="90" spans="1:46" ht="15" customHeight="1" x14ac:dyDescent="0.25">
      <c r="A90" s="73"/>
      <c r="B90" s="73"/>
      <c r="C90" s="73"/>
      <c r="D90" s="73"/>
      <c r="E90" s="74"/>
      <c r="F90" s="71"/>
      <c r="G90" s="71"/>
      <c r="H90" s="75"/>
      <c r="I90" s="69"/>
      <c r="J90" s="102" t="str">
        <f>VLOOKUP(10,$AD$80:$AT$91,17,FALSE)</f>
        <v>Ⓐ Korea Republic</v>
      </c>
      <c r="K90" s="103">
        <f t="shared" si="47"/>
        <v>3</v>
      </c>
      <c r="L90" s="103">
        <f>VLOOKUP(10,$AD$80:$AN$91,3,FALSE)</f>
        <v>1</v>
      </c>
      <c r="M90" s="103">
        <f>VLOOKUP(10,$AD$80:$AN$91,4,FALSE)</f>
        <v>0</v>
      </c>
      <c r="N90" s="103">
        <f>VLOOKUP(10,$AD$80:$AN$91,5,FALSE)</f>
        <v>2</v>
      </c>
      <c r="O90" s="103" t="str">
        <f>VLOOKUP(10,$AD$80:$AN$91,6,FALSE) &amp; " - " &amp; VLOOKUP(10,$AD$80:$AN$91,7,FALSE)</f>
        <v>2 - 3</v>
      </c>
      <c r="P90" s="104">
        <f t="shared" si="48"/>
        <v>3</v>
      </c>
      <c r="R90" s="123">
        <f>DATE(2026,12,6)+TIME(4,0,0)+gmt_delta</f>
        <v>46362.666666666664</v>
      </c>
      <c r="S90" s="127" t="str">
        <f>IF(OR(BM34="",BM35=""),"",IF(BM34&gt;BM35,BL34,IF(BM34&lt;BM35,BL35,IF(OR(BN34="",BN35=""),"draw",IF(BN34&gt;BN35,BL34,IF(BN34&lt;BN35,BL35,IF(OR(BO34="",BO35=""),"draw",IF(BO34&gt;BO35,BL34,IF(BO34&lt;BO35,BL35,"draw")))))))))</f>
        <v>United States</v>
      </c>
      <c r="T90" s="127" t="str" cm="1">
        <f t="array" ref="T90">IF(OR(S90="",S90="draw"),INDEX(T,92,lang),S90)</f>
        <v>United States</v>
      </c>
      <c r="AD90" s="123">
        <f t="shared" si="38"/>
        <v>1</v>
      </c>
      <c r="AE90" s="124" t="str">
        <f>J71</f>
        <v>DR Congo</v>
      </c>
      <c r="AF90" s="123">
        <f t="shared" si="39"/>
        <v>1</v>
      </c>
      <c r="AG90" s="123">
        <f t="shared" si="49"/>
        <v>1</v>
      </c>
      <c r="AH90" s="123">
        <f t="shared" si="40"/>
        <v>1</v>
      </c>
      <c r="AI90" s="123">
        <f t="shared" si="41"/>
        <v>4</v>
      </c>
      <c r="AJ90" s="123">
        <f t="shared" si="42"/>
        <v>3</v>
      </c>
      <c r="AK90" s="123" t="s">
        <v>3191</v>
      </c>
      <c r="AL90" s="123">
        <f t="shared" si="43"/>
        <v>1</v>
      </c>
      <c r="AM90" s="123">
        <f t="shared" si="44"/>
        <v>4</v>
      </c>
      <c r="AN90" s="123">
        <f t="shared" si="45"/>
        <v>4</v>
      </c>
      <c r="AP90" s="123">
        <f>AN90/AN92*10000+AM90/AM92*1000+AI90/AI92*100+IF(AQ90=0,ROW(),AQ90)/2000000</f>
        <v>8711.1118502861118</v>
      </c>
      <c r="AQ90" s="126">
        <f t="shared" si="37"/>
        <v>1478.35</v>
      </c>
      <c r="AR90" s="125" t="str">
        <f t="shared" si="50"/>
        <v>BDEFIJK</v>
      </c>
      <c r="AS90" s="129" t="str">
        <f t="shared" si="46"/>
        <v>DR Congo</v>
      </c>
      <c r="AT90" s="130" t="str">
        <f>"Ⓚ "&amp;AE90</f>
        <v>Ⓚ DR Congo</v>
      </c>
    </row>
    <row r="91" spans="1:46" ht="15" customHeight="1" x14ac:dyDescent="0.25">
      <c r="A91" s="73"/>
      <c r="B91" s="73"/>
      <c r="C91" s="73"/>
      <c r="D91" s="73"/>
      <c r="E91" s="74"/>
      <c r="F91" s="71"/>
      <c r="G91" s="71"/>
      <c r="H91" s="75"/>
      <c r="I91" s="69"/>
      <c r="J91" s="102" t="str">
        <f>VLOOKUP(11,$AD$80:$AT$91,17,FALSE)</f>
        <v>Ⓒ Scotland</v>
      </c>
      <c r="K91" s="103">
        <f t="shared" si="47"/>
        <v>3</v>
      </c>
      <c r="L91" s="103">
        <f>VLOOKUP(11,$AD$80:$AN$91,3,FALSE)</f>
        <v>1</v>
      </c>
      <c r="M91" s="103">
        <f>VLOOKUP(11,$AD$80:$AN$91,4,FALSE)</f>
        <v>0</v>
      </c>
      <c r="N91" s="103">
        <f>VLOOKUP(11,$AD$80:$AN$91,5,FALSE)</f>
        <v>2</v>
      </c>
      <c r="O91" s="103" t="str">
        <f>VLOOKUP(11,$AD$80:$AN$91,6,FALSE) &amp; " - " &amp; VLOOKUP(11,$AD$80:$AN$91,7,FALSE)</f>
        <v>1 - 4</v>
      </c>
      <c r="P91" s="104">
        <f t="shared" si="48"/>
        <v>3</v>
      </c>
      <c r="R91" s="123">
        <f>DATE(2026,12,6)+TIME(8,0,0)+gmt_delta</f>
        <v>46362.833333333336</v>
      </c>
      <c r="S91" s="127" t="str">
        <f>IF(OR(BM38="",BM39=""),"",IF(BM38&gt;BM39,BL38,IF(BM38&lt;BM39,BL39,IF(OR(BN38="",BN39=""),"draw",IF(BN38&gt;BN39,BL38,IF(BN38&lt;BN39,BL39,IF(OR(BO38="",BO39=""),"draw",IF(BO38&gt;BO39,BL38,IF(BO38&lt;BO39,BL39,"draw")))))))))</f>
        <v>Belgium</v>
      </c>
      <c r="T91" s="127" t="str" cm="1">
        <f t="array" ref="T91">IF(OR(S91="",S91="draw"),INDEX(T,93,lang),S91)</f>
        <v>Belgium</v>
      </c>
      <c r="AD91" s="123">
        <f t="shared" si="38"/>
        <v>4</v>
      </c>
      <c r="AE91" s="124" t="str">
        <f>J77</f>
        <v>Ghana</v>
      </c>
      <c r="AF91" s="123">
        <f t="shared" si="39"/>
        <v>1</v>
      </c>
      <c r="AG91" s="123">
        <f t="shared" si="49"/>
        <v>1</v>
      </c>
      <c r="AH91" s="123">
        <f>VLOOKUP($AE91,$AE$8:$AQ$78,4,FALSE)</f>
        <v>1</v>
      </c>
      <c r="AI91" s="123">
        <f>VLOOKUP($AE91,$AE$8:$AQ$78,5,FALSE)</f>
        <v>2</v>
      </c>
      <c r="AJ91" s="123">
        <f>VLOOKUP($AE91,$AE$8:$AQ$78,6,FALSE)</f>
        <v>2</v>
      </c>
      <c r="AK91" s="123" t="s">
        <v>3192</v>
      </c>
      <c r="AL91" s="123">
        <f>VLOOKUP($AE91,$AE$8:$AQ$78,8,FALSE)</f>
        <v>0</v>
      </c>
      <c r="AM91" s="123">
        <f t="shared" si="44"/>
        <v>3</v>
      </c>
      <c r="AN91" s="123">
        <f>VLOOKUP($AE91,$AE$8:$AQ$78,10,FALSE)</f>
        <v>4</v>
      </c>
      <c r="AP91" s="123">
        <f>AN91/AN92*10000+AM91/AM92*1000+AI91/AI92*100+IF(AQ91=0,ROW(),AQ91)/2000000</f>
        <v>8522.2228953772228</v>
      </c>
      <c r="AQ91" s="126">
        <f t="shared" si="37"/>
        <v>1346.31</v>
      </c>
      <c r="AR91" s="125" t="str">
        <f t="shared" si="50"/>
        <v>BDEFIJKL</v>
      </c>
      <c r="AS91" s="129" t="str">
        <f t="shared" si="46"/>
        <v>Ghana</v>
      </c>
      <c r="AT91" s="130" t="str">
        <f>"Ⓛ "&amp;AE91</f>
        <v>Ⓛ Ghana</v>
      </c>
    </row>
    <row r="92" spans="1:46" ht="15" customHeight="1" x14ac:dyDescent="0.25">
      <c r="A92" s="73"/>
      <c r="B92" s="73"/>
      <c r="C92" s="73"/>
      <c r="D92" s="73"/>
      <c r="E92" s="74"/>
      <c r="F92" s="71"/>
      <c r="G92" s="71"/>
      <c r="H92" s="75"/>
      <c r="I92" s="69"/>
      <c r="J92" s="105" t="str">
        <f>VLOOKUP(12,$AD$80:$AT$91,17,FALSE)</f>
        <v>Ⓗ Uruguay</v>
      </c>
      <c r="K92" s="106">
        <f t="shared" si="47"/>
        <v>3</v>
      </c>
      <c r="L92" s="106">
        <f>VLOOKUP(12,$AD$80:$AN$91,3,FALSE)</f>
        <v>0</v>
      </c>
      <c r="M92" s="106">
        <f>VLOOKUP(12,$AD$80:$AN$91,4,FALSE)</f>
        <v>2</v>
      </c>
      <c r="N92" s="106">
        <f>VLOOKUP(12,$AD$80:$AN$91,5,FALSE)</f>
        <v>1</v>
      </c>
      <c r="O92" s="106" t="str">
        <f>VLOOKUP(12,$AD$80:$AN$91,6,FALSE) &amp; " - " &amp; VLOOKUP(12,$AD$80:$AN$91,7,FALSE)</f>
        <v>3 - 4</v>
      </c>
      <c r="P92" s="107">
        <f t="shared" si="48"/>
        <v>2</v>
      </c>
      <c r="AF92" s="123">
        <f>MAX(AF80:AF91)+1</f>
        <v>2</v>
      </c>
      <c r="AG92" s="123">
        <f>MAX(AG80:AG91)+1</f>
        <v>4</v>
      </c>
      <c r="AH92" s="123">
        <f>MAX(AH80:AH91)+1</f>
        <v>3</v>
      </c>
      <c r="AI92" s="123">
        <f>MAX(AI80:AI91)+1</f>
        <v>9</v>
      </c>
      <c r="AJ92" s="123">
        <f>MAX(AJ80:AJ91)+1</f>
        <v>8</v>
      </c>
      <c r="AL92" s="123">
        <f>MIN(AL80:AL91)</f>
        <v>-3</v>
      </c>
      <c r="AM92" s="123">
        <f>MAX(AM80:AM91)+1</f>
        <v>6</v>
      </c>
      <c r="AN92" s="123">
        <f>MAX(AN80:AN91)+1</f>
        <v>5</v>
      </c>
      <c r="AS92" s="126" t="b">
        <f>SUM(K9:K78)=144</f>
        <v>1</v>
      </c>
    </row>
    <row r="93" spans="1:46" x14ac:dyDescent="0.25">
      <c r="A93" s="73"/>
      <c r="B93" s="73"/>
      <c r="C93" s="73"/>
      <c r="D93" s="73"/>
      <c r="E93" s="74"/>
      <c r="F93" s="71"/>
      <c r="G93" s="71"/>
      <c r="H93" s="75"/>
      <c r="I93" s="69"/>
      <c r="J93" s="72"/>
      <c r="K93" s="70"/>
      <c r="L93" s="70"/>
      <c r="M93" s="70"/>
      <c r="N93" s="70"/>
      <c r="O93" s="70"/>
      <c r="P93" s="70"/>
    </row>
    <row r="95" spans="1:46" x14ac:dyDescent="0.25">
      <c r="R95" s="123">
        <f>DATE(2026,12,9)+TIME(8,0,0)+gmt_delta</f>
        <v>46365.833333333336</v>
      </c>
      <c r="S95" s="127" t="str">
        <f>IF(OR(BT12="",BT13=""),"",IF(BT12&gt;BT13,BS12,IF(BT12&lt;BT13,BS13,IF(OR(BU12="",BU13=""),"draw",IF(BU12&gt;BU13,BS12,IF(BU12&lt;BU13,BS13,IF(OR(BV12="",BV13=""),"draw",IF(BV12&gt;BV13,BS12,IF(BV12&lt;BV13,BS13,"draw")))))))))</f>
        <v>France</v>
      </c>
      <c r="T95" s="127" t="str" cm="1">
        <f t="array" ref="T95">IF(OR(S95="",S95="draw"),INDEX(T,94,lang),S95)</f>
        <v>France</v>
      </c>
    </row>
    <row r="96" spans="1:46" ht="12.75" customHeight="1" x14ac:dyDescent="0.25">
      <c r="R96" s="123">
        <f>DATE(2026,12,9)+TIME(4,0,0)+gmt_delta</f>
        <v>46365.666666666664</v>
      </c>
      <c r="S96" s="127" t="str">
        <f>IF(OR(BT20="",BT21=""),"",IF(BT20&gt;BT21,BS20,IF(BT20&lt;BT21,BS21,IF(OR(BU20="",BU21=""),"draw",IF(BU20&gt;BU21,BS20,IF(BU20&lt;BU21,BS21,IF(OR(BV20="",BV21=""),"draw",IF(BV20&gt;BV21,BS20,IF(BV20&lt;BV21,BS21,"draw")))))))))</f>
        <v>Morocco</v>
      </c>
      <c r="T96" s="127" t="str" cm="1">
        <f t="array" ref="T96">IF(OR(S96="",S96="draw"),INDEX(T,95,lang),S96)</f>
        <v>Morocco</v>
      </c>
    </row>
    <row r="97" spans="18:29" ht="12.75" customHeight="1" x14ac:dyDescent="0.25">
      <c r="R97" s="123">
        <f>DATE(2026,12,10)+TIME(8,0,0)+gmt_delta</f>
        <v>46366.833333333336</v>
      </c>
      <c r="S97" s="127" t="str">
        <f>IF(OR(BT28="",BT29=""),"",IF(BT28&gt;BT29,BS28,IF(BT28&lt;BT29,BS29,IF(OR(BU28="",BU29=""),"draw",IF(BU28&gt;BU29,BS28,IF(BU28&lt;BU29,BS29,IF(OR(BV28="",BV29=""),"draw",IF(BV28&gt;BV29,BS28,IF(BV28&lt;BV29,BS29,"draw")))))))))</f>
        <v>Spain</v>
      </c>
      <c r="T97" s="127" t="str" cm="1">
        <f t="array" ref="T97">IF(OR(S97="",S97="draw"),INDEX(T,96,lang),S97)</f>
        <v>Spain</v>
      </c>
    </row>
    <row r="98" spans="18:29" x14ac:dyDescent="0.25">
      <c r="R98" s="123">
        <f>DATE(2026,12,10)+TIME(4,0,0)+gmt_delta</f>
        <v>46366.666666666664</v>
      </c>
      <c r="S98" s="127" t="str">
        <f>IF(OR(BT36="",BT37=""),"",IF(BT36&gt;BT37,BS36,IF(BT36&lt;BT37,BS37,IF(OR(BU36="",BU37=""),"draw",IF(BU36&gt;BU37,BS36,IF(BU36&lt;BU37,BS37,IF(OR(BV36="",BV37=""),"draw",IF(BV36&gt;BV37,BS36,IF(BV36&lt;BV37,BS37,"draw")))))))))</f>
        <v>Belgium</v>
      </c>
      <c r="T98" s="127" t="str" cm="1">
        <f t="array" ref="T98">IF(OR(S98="",S98="draw"),INDEX(T,97,lang),S98)</f>
        <v>Belgium</v>
      </c>
    </row>
    <row r="102" spans="18:29" x14ac:dyDescent="0.25">
      <c r="R102" s="123">
        <f>DATE(2026,12,13)+TIME(8,0,0)+gmt_delta</f>
        <v>46369.833333333336</v>
      </c>
      <c r="S102" s="127" t="str">
        <f>IF(OR(CA16="",CA17=""),"",IF(CA16&gt;CA17,BZ16,IF(CA16&lt;CA17,BZ17,IF(OR(CB16="",CB17=""),"draw",IF(CB16&gt;CB17,BZ16,IF(CB16&lt;CB17,BZ17,IF(OR(CC16="",CC17=""),"draw",IF(CC16&gt;CC17,BZ16,IF(CC16&lt;CC17,BZ17,"draw")))))))))</f>
        <v>France</v>
      </c>
      <c r="T102" s="127" t="str" cm="1">
        <f t="array" ref="T102">IF(OR(S102="",S102="draw"),INDEX(T,98,lang),S102)</f>
        <v>France</v>
      </c>
      <c r="U102" s="123" t="str">
        <f>IF(OR(CA16="",CA17=""),"",IF(CA16&lt;CA17,BZ16,IF(CA16&gt;CA17,BZ17,IF(OR(CB16="",CB17=""),"draw",IF(CB16&lt;CB17,BZ16,IF(CB16&gt;CB17,BZ17,IF(OR(CC16="",CC17=""),"draw",IF(CC16&lt;CC17,BZ16,IF(CC16&gt;CC17,BZ17,"draw")))))))))</f>
        <v>Morocco</v>
      </c>
      <c r="X102" s="123" t="str">
        <f>IF(OR(CM16="",CM17=""),"",IF(CM16&lt;CM17,CL16,IF(CM16&gt;CM17,CL17,IF(OR(CN16="",CN17=""),"draw",IF(CN16&lt;CN17,CL16,IF(CN16&gt;CN17,CL17,IF(OR(CO16="",CO17=""),"draw",IF(CO16&lt;CO17,CL16,IF(CO16&gt;CO17,CL17,"draw")))))))))</f>
        <v/>
      </c>
      <c r="AC102" s="127" t="str" cm="1">
        <f t="array" ref="AC102">IF(OR(U102="",U102="draw"),INDEX(T,100,lang),U102)</f>
        <v>Morocco</v>
      </c>
    </row>
    <row r="103" spans="18:29" x14ac:dyDescent="0.25">
      <c r="R103" s="123">
        <f>DATE(2026,12,14)+TIME(8,0,0)+gmt_delta</f>
        <v>46370.833333333336</v>
      </c>
      <c r="S103" s="127" t="str">
        <f>IF(OR(CA32="",CA33=""),"",IF(CA32&gt;CA33,BZ32,IF(CA32&lt;CA33,BZ33,IF(OR(CB32="",CB33=""),"draw",IF(CB32&gt;CB33,BZ32,IF(CB32&lt;CB33,BZ33,IF(OR(CC32="",CC33=""),"draw",IF(CC32&gt;CC33,BZ32,IF(CC32&lt;CC33,BZ33,"draw")))))))))</f>
        <v>Spain</v>
      </c>
      <c r="T103" s="127" t="str" cm="1">
        <f t="array" ref="T103">IF(OR(S103="",S103="draw"),INDEX(T,99,lang),S103)</f>
        <v>Spain</v>
      </c>
      <c r="U103" s="123" t="str">
        <f>IF(OR(CA32="",CA33=""),"",IF(CA32&lt;CA33,BZ32,IF(CA32&gt;CA33,BZ33,IF(OR(CB32="",CB33=""),"draw",IF(CB32&lt;CB33,BZ32,IF(CB32&gt;CB33,BZ33,IF(OR(CC32="",CC33=""),"draw",IF(CC32&lt;CC33,BZ32,IF(CC32&gt;CC33,BZ33,"draw")))))))))</f>
        <v>Belgium</v>
      </c>
      <c r="X103" s="123" t="str">
        <f>IF(OR(CM32="",CM33=""),"",IF(CM32&lt;CM33,CL32,IF(CM32&gt;CM33,CL33,IF(OR(CN32="",CN33=""),"draw",IF(CN32&lt;CN33,CL32,IF(CN32&gt;CN33,CL33,IF(OR(CO32="",CO33=""),"draw",IF(CO32&lt;CO33,CL32,IF(CO32&gt;CO33,CL33,"draw")))))))))</f>
        <v/>
      </c>
      <c r="AC103" s="127" t="str" cm="1">
        <f t="array" ref="AC103">IF(OR(U103="",U103="draw"),INDEX(T,101,lang),U103)</f>
        <v>Belgium</v>
      </c>
    </row>
    <row r="107" spans="18:29" x14ac:dyDescent="0.25">
      <c r="R107" s="123">
        <f>DATE(2026,12,17)+TIME(8,0,0)+gmt_delta</f>
        <v>46373.833333333336</v>
      </c>
      <c r="T107" s="127" t="e">
        <f>IF(OR(#REF!="",#REF!=""),"",IF(#REF!&gt;#REF!,#REF!,IF(#REF!&lt;#REF!,#REF!,IF(OR(#REF!="",#REF!=""),"",IF(#REF!&gt;#REF!,#REF!,IF(#REF!&lt;#REF!,#REF!,IF(OR(#REF!="",#REF!=""),"",IF(#REF!&gt;#REF!,#REF!,IF(#REF!&lt;#REF!,#REF!,"")))))))))</f>
        <v>#REF!</v>
      </c>
    </row>
    <row r="111" spans="18:29" x14ac:dyDescent="0.25">
      <c r="R111" s="123">
        <f>DATE(2026,12,18)+TIME(8,0,0)+gmt_delta</f>
        <v>46374.833333333336</v>
      </c>
      <c r="S111" s="127" t="str">
        <f>IF(OR(CH23="",CH24=""),"",IF(CH23&gt;CH24,CG23,IF(CH23&lt;CH24,CG24,IF(OR(CI23="",CI24=""),"",IF(CI23&gt;CI24,CG23,IF(CI23&lt;CI24,CG24,IF(OR(CJ23="",CJ24=""),"",IF(CJ23&gt;CJ24,CG23,IF(CJ23&lt;CJ24,CG24,"")))))))))</f>
        <v>Spain</v>
      </c>
      <c r="T111" s="127" t="str">
        <f>S111</f>
        <v>Spain</v>
      </c>
    </row>
  </sheetData>
  <sheetProtection algorithmName="SHA-512" hashValue="7nWuIQAsd0NKRlhwUK3tOeNHpTch5B5FULy2gxNNaIdJM5RfhFSMzPcx55y+pmM3d73guUy+p5Y+SvIjJZQRaA==" saltValue="Uw23KnM8csnTioq5H8upCA==" spinCount="100000" sheet="1" objects="1" scenarios="1"/>
  <mergeCells count="45">
    <mergeCell ref="CK68:CQ69"/>
    <mergeCell ref="C83:G88"/>
    <mergeCell ref="BK70:BK71"/>
    <mergeCell ref="BY48:BY49"/>
    <mergeCell ref="BY64:BY65"/>
    <mergeCell ref="CF55:CF56"/>
    <mergeCell ref="BK58:BK59"/>
    <mergeCell ref="BR60:BR61"/>
    <mergeCell ref="BK62:BK63"/>
    <mergeCell ref="BK66:BK67"/>
    <mergeCell ref="BR68:BR69"/>
    <mergeCell ref="BK50:BK51"/>
    <mergeCell ref="BR52:BR53"/>
    <mergeCell ref="BK54:BK55"/>
    <mergeCell ref="CE68:CJ69"/>
    <mergeCell ref="CF6:CJ7"/>
    <mergeCell ref="A1:P1"/>
    <mergeCell ref="O3:P3"/>
    <mergeCell ref="A5:H6"/>
    <mergeCell ref="J5:P6"/>
    <mergeCell ref="BK10:BK11"/>
    <mergeCell ref="BR12:BR13"/>
    <mergeCell ref="BK6:BO7"/>
    <mergeCell ref="BR6:BV7"/>
    <mergeCell ref="BY6:CC7"/>
    <mergeCell ref="CF23:CF24"/>
    <mergeCell ref="BK18:BK19"/>
    <mergeCell ref="BR20:BR21"/>
    <mergeCell ref="CM48:CM49"/>
    <mergeCell ref="BR44:BR45"/>
    <mergeCell ref="BK46:BK47"/>
    <mergeCell ref="BK30:BK31"/>
    <mergeCell ref="CM44:CQ45"/>
    <mergeCell ref="BY32:BY33"/>
    <mergeCell ref="BK38:BK39"/>
    <mergeCell ref="BK34:BK35"/>
    <mergeCell ref="BR36:BR37"/>
    <mergeCell ref="BK42:BK43"/>
    <mergeCell ref="CM33:CQ34"/>
    <mergeCell ref="CM37:CM38"/>
    <mergeCell ref="BK14:BK15"/>
    <mergeCell ref="BY16:BY17"/>
    <mergeCell ref="BK26:BK27"/>
    <mergeCell ref="BR28:BR29"/>
    <mergeCell ref="BK22:BK23"/>
  </mergeCells>
  <conditionalFormatting sqref="A7:E78">
    <cfRule type="expression" dxfId="228" priority="339">
      <formula>IF($AA7=1,1,0)</formula>
    </cfRule>
  </conditionalFormatting>
  <conditionalFormatting sqref="E7:E78">
    <cfRule type="expression" dxfId="227" priority="348">
      <formula>IF(AND(AA7=0,AB7=1),1,0)</formula>
    </cfRule>
    <cfRule type="expression" dxfId="226" priority="347">
      <formula>IF(AND(AA7=1,AB7=-1),1,0)</formula>
    </cfRule>
    <cfRule type="expression" dxfId="225" priority="346">
      <formula>IF(AND(AA7=0,AB7=-1),1,0)</formula>
    </cfRule>
    <cfRule type="expression" dxfId="224" priority="351">
      <formula>IF(AND(AA7=1,AB7=0),1,0)</formula>
    </cfRule>
    <cfRule type="expression" dxfId="223" priority="350">
      <formula>IF(AND(AA7=0,AB7=0),1,0)</formula>
    </cfRule>
    <cfRule type="expression" dxfId="222" priority="349">
      <formula>IF(AND(AA7=1,AB7=1),1,0)</formula>
    </cfRule>
  </conditionalFormatting>
  <conditionalFormatting sqref="F7:F78">
    <cfRule type="expression" dxfId="221" priority="354" stopIfTrue="1">
      <formula>IF(AND($F7&gt;$G7,ISNUMBER($F7),ISNUMBER($G7)),1,0)</formula>
    </cfRule>
  </conditionalFormatting>
  <conditionalFormatting sqref="G7:G78">
    <cfRule type="expression" dxfId="220" priority="355" stopIfTrue="1">
      <formula>IF(AND($F7&lt;$G7,ISNUMBER($F7),ISNUMBER($G7)),1,0)</formula>
    </cfRule>
  </conditionalFormatting>
  <conditionalFormatting sqref="H7:H78">
    <cfRule type="expression" dxfId="219" priority="352">
      <formula>IF(AND(AA7=1,AB7=""),1,0)</formula>
    </cfRule>
    <cfRule type="expression" dxfId="218" priority="341">
      <formula>IF(AND(AA7=1,AB7=-1),1,0)</formula>
    </cfRule>
    <cfRule type="expression" dxfId="217" priority="345">
      <formula>IF(AND(AA7=1,AB7=0),1,0)</formula>
    </cfRule>
    <cfRule type="expression" dxfId="216" priority="344">
      <formula>IF(AND(AA7=0,AB7=0),1,0)</formula>
    </cfRule>
    <cfRule type="expression" dxfId="215" priority="343">
      <formula>IF(AND(AA7=1,AB7=1),1,0)</formula>
    </cfRule>
    <cfRule type="expression" dxfId="214" priority="342">
      <formula>IF(AND(AA7=0,AB7=1),1,0)</formula>
    </cfRule>
    <cfRule type="expression" dxfId="213" priority="340">
      <formula>IF(AND(AA7=0,AB7=-1),1,0)</formula>
    </cfRule>
  </conditionalFormatting>
  <conditionalFormatting sqref="J9:P9 J15:P15 J21:P21 J27:P27 J33:P33 J39:P39 J45:P45 J51:P51">
    <cfRule type="expression" dxfId="212" priority="356" stopIfTrue="1">
      <formula>IF(SUM($K9:$K12)=12,1,0)</formula>
    </cfRule>
  </conditionalFormatting>
  <conditionalFormatting sqref="J10:P10 J16:P16 J22:P22 J28:P28 J34:P34 J40:P40 J46:P46 J52:P52">
    <cfRule type="expression" dxfId="211" priority="357" stopIfTrue="1">
      <formula>IF(SUM($K9:$K12)=12,1,0)</formula>
    </cfRule>
  </conditionalFormatting>
  <conditionalFormatting sqref="J11:P11 J17:P17 J23:P23 J29:P29 J35:P35 J41:P41 J47:P47 J53:P53">
    <cfRule type="expression" dxfId="210" priority="359" stopIfTrue="1">
      <formula>IF(SUM($K9:$K12)=12,1,0)</formula>
    </cfRule>
  </conditionalFormatting>
  <conditionalFormatting sqref="J12:P12 J18:P18 J24:P24 J30:P30 J36:P36 J42:P42 J48:P48 J54:P55">
    <cfRule type="expression" dxfId="209" priority="358" stopIfTrue="1">
      <formula>IF(SUM($K9:$K12)=12,1,0)</formula>
    </cfRule>
  </conditionalFormatting>
  <conditionalFormatting sqref="J57:P57">
    <cfRule type="expression" dxfId="208" priority="235" stopIfTrue="1">
      <formula>IF(SUM($K57:$K60)=12,1,0)</formula>
    </cfRule>
  </conditionalFormatting>
  <conditionalFormatting sqref="J58:P58">
    <cfRule type="expression" dxfId="207" priority="236" stopIfTrue="1">
      <formula>IF(SUM($K57:$K60)=12,1,0)</formula>
    </cfRule>
  </conditionalFormatting>
  <conditionalFormatting sqref="J59:P59">
    <cfRule type="expression" dxfId="206" priority="238" stopIfTrue="1">
      <formula>IF(SUM($K57:$K60)=12,1,0)</formula>
    </cfRule>
  </conditionalFormatting>
  <conditionalFormatting sqref="J60:P61">
    <cfRule type="expression" dxfId="205" priority="237" stopIfTrue="1">
      <formula>IF(SUM($K57:$K60)=12,1,0)</formula>
    </cfRule>
  </conditionalFormatting>
  <conditionalFormatting sqref="J63:P63">
    <cfRule type="expression" dxfId="204" priority="231" stopIfTrue="1">
      <formula>IF(SUM($K63:$K66)=12,1,0)</formula>
    </cfRule>
  </conditionalFormatting>
  <conditionalFormatting sqref="J64:P64">
    <cfRule type="expression" dxfId="203" priority="232" stopIfTrue="1">
      <formula>IF(SUM($K63:$K66)=12,1,0)</formula>
    </cfRule>
  </conditionalFormatting>
  <conditionalFormatting sqref="J65:P65">
    <cfRule type="expression" dxfId="202" priority="234" stopIfTrue="1">
      <formula>IF(SUM($K63:$K66)=12,1,0)</formula>
    </cfRule>
  </conditionalFormatting>
  <conditionalFormatting sqref="J66:P67">
    <cfRule type="expression" dxfId="201" priority="233" stopIfTrue="1">
      <formula>IF(SUM($K63:$K66)=12,1,0)</formula>
    </cfRule>
  </conditionalFormatting>
  <conditionalFormatting sqref="J69:P69">
    <cfRule type="expression" dxfId="200" priority="227" stopIfTrue="1">
      <formula>IF(SUM($K69:$K72)=12,1,0)</formula>
    </cfRule>
  </conditionalFormatting>
  <conditionalFormatting sqref="J70:P70">
    <cfRule type="expression" dxfId="199" priority="228" stopIfTrue="1">
      <formula>IF(SUM($K69:$K72)=12,1,0)</formula>
    </cfRule>
  </conditionalFormatting>
  <conditionalFormatting sqref="J71:P71">
    <cfRule type="expression" dxfId="198" priority="230" stopIfTrue="1">
      <formula>IF(SUM($K69:$K72)=12,1,0)</formula>
    </cfRule>
  </conditionalFormatting>
  <conditionalFormatting sqref="J72:P73">
    <cfRule type="expression" dxfId="197" priority="229" stopIfTrue="1">
      <formula>IF(SUM($K69:$K72)=12,1,0)</formula>
    </cfRule>
  </conditionalFormatting>
  <conditionalFormatting sqref="J75:P75">
    <cfRule type="expression" dxfId="196" priority="223" stopIfTrue="1">
      <formula>IF(SUM($K75:$K78)=12,1,0)</formula>
    </cfRule>
  </conditionalFormatting>
  <conditionalFormatting sqref="J76:P76">
    <cfRule type="expression" dxfId="195" priority="224" stopIfTrue="1">
      <formula>IF(SUM($K75:$K78)=12,1,0)</formula>
    </cfRule>
  </conditionalFormatting>
  <conditionalFormatting sqref="J77:P77">
    <cfRule type="expression" dxfId="194" priority="226" stopIfTrue="1">
      <formula>IF(SUM($K75:$K78)=12,1,0)</formula>
    </cfRule>
  </conditionalFormatting>
  <conditionalFormatting sqref="J78:P79">
    <cfRule type="expression" dxfId="193" priority="225" stopIfTrue="1">
      <formula>IF(SUM($K75:$K78)=12,1,0)</formula>
    </cfRule>
  </conditionalFormatting>
  <conditionalFormatting sqref="BL10">
    <cfRule type="expression" dxfId="192" priority="220">
      <formula>IF(BP10&gt;BP11,1,0)</formula>
    </cfRule>
    <cfRule type="expression" dxfId="191" priority="218">
      <formula>IF(BP10&lt;BP11,1,0)</formula>
    </cfRule>
  </conditionalFormatting>
  <conditionalFormatting sqref="BL11">
    <cfRule type="expression" dxfId="190" priority="219">
      <formula>IF(BP10&gt;BP11,1,0)</formula>
    </cfRule>
    <cfRule type="expression" dxfId="189" priority="217">
      <formula>IF(BP10&lt;BP11,1,0)</formula>
    </cfRule>
  </conditionalFormatting>
  <conditionalFormatting sqref="BL14">
    <cfRule type="expression" dxfId="188" priority="184">
      <formula>IF(BP14&gt;BP15,1,0)</formula>
    </cfRule>
    <cfRule type="expression" dxfId="187" priority="182">
      <formula>IF(BP14&lt;BP15,1,0)</formula>
    </cfRule>
  </conditionalFormatting>
  <conditionalFormatting sqref="BL15">
    <cfRule type="expression" dxfId="186" priority="183">
      <formula>IF(BP14&gt;BP15,1,0)</formula>
    </cfRule>
    <cfRule type="expression" dxfId="185" priority="181">
      <formula>IF(BP14&lt;BP15,1,0)</formula>
    </cfRule>
  </conditionalFormatting>
  <conditionalFormatting sqref="BL18">
    <cfRule type="expression" dxfId="184" priority="176">
      <formula>IF(BP18&lt;BP19,1,0)</formula>
    </cfRule>
    <cfRule type="expression" dxfId="183" priority="178">
      <formula>IF(BP18&gt;BP19,1,0)</formula>
    </cfRule>
  </conditionalFormatting>
  <conditionalFormatting sqref="BL19">
    <cfRule type="expression" dxfId="182" priority="177">
      <formula>IF(BP18&gt;BP19,1,0)</formula>
    </cfRule>
    <cfRule type="expression" dxfId="181" priority="175">
      <formula>IF(BP18&lt;BP19,1,0)</formula>
    </cfRule>
  </conditionalFormatting>
  <conditionalFormatting sqref="BL22">
    <cfRule type="expression" dxfId="180" priority="170">
      <formula>IF(BP22&lt;BP23,1,0)</formula>
    </cfRule>
    <cfRule type="expression" dxfId="179" priority="172">
      <formula>IF(BP22&gt;BP23,1,0)</formula>
    </cfRule>
  </conditionalFormatting>
  <conditionalFormatting sqref="BL23">
    <cfRule type="expression" dxfId="178" priority="169">
      <formula>IF(BP22&lt;BP23,1,0)</formula>
    </cfRule>
    <cfRule type="expression" dxfId="177" priority="171">
      <formula>IF(BP22&gt;BP23,1,0)</formula>
    </cfRule>
  </conditionalFormatting>
  <conditionalFormatting sqref="BL26">
    <cfRule type="expression" dxfId="176" priority="164">
      <formula>IF(BP26&lt;BP27,1,0)</formula>
    </cfRule>
    <cfRule type="expression" dxfId="175" priority="166">
      <formula>IF(BP26&gt;BP27,1,0)</formula>
    </cfRule>
  </conditionalFormatting>
  <conditionalFormatting sqref="BL27">
    <cfRule type="expression" dxfId="174" priority="163">
      <formula>IF(BP26&lt;BP27,1,0)</formula>
    </cfRule>
    <cfRule type="expression" dxfId="173" priority="165">
      <formula>IF(BP26&gt;BP27,1,0)</formula>
    </cfRule>
  </conditionalFormatting>
  <conditionalFormatting sqref="BL30">
    <cfRule type="expression" dxfId="172" priority="158">
      <formula>IF(BP30&lt;BP31,1,0)</formula>
    </cfRule>
    <cfRule type="expression" dxfId="171" priority="160">
      <formula>IF(BP30&gt;BP31,1,0)</formula>
    </cfRule>
  </conditionalFormatting>
  <conditionalFormatting sqref="BL31">
    <cfRule type="expression" dxfId="170" priority="157">
      <formula>IF(BP30&lt;BP31,1,0)</formula>
    </cfRule>
    <cfRule type="expression" dxfId="169" priority="159">
      <formula>IF(BP30&gt;BP31,1,0)</formula>
    </cfRule>
  </conditionalFormatting>
  <conditionalFormatting sqref="BL34">
    <cfRule type="expression" dxfId="168" priority="152">
      <formula>IF(BP34&lt;BP35,1,0)</formula>
    </cfRule>
    <cfRule type="expression" dxfId="167" priority="154">
      <formula>IF(BP34&gt;BP35,1,0)</formula>
    </cfRule>
  </conditionalFormatting>
  <conditionalFormatting sqref="BL35">
    <cfRule type="expression" dxfId="166" priority="151">
      <formula>IF(BP34&lt;BP35,1,0)</formula>
    </cfRule>
    <cfRule type="expression" dxfId="165" priority="153">
      <formula>IF(BP34&gt;BP35,1,0)</formula>
    </cfRule>
  </conditionalFormatting>
  <conditionalFormatting sqref="BL38">
    <cfRule type="expression" dxfId="164" priority="148">
      <formula>IF(BP38&gt;BP39,1,0)</formula>
    </cfRule>
    <cfRule type="expression" dxfId="163" priority="146">
      <formula>IF(BP38&lt;BP39,1,0)</formula>
    </cfRule>
  </conditionalFormatting>
  <conditionalFormatting sqref="BL39">
    <cfRule type="expression" dxfId="162" priority="147">
      <formula>IF(BP38&gt;BP39,1,0)</formula>
    </cfRule>
    <cfRule type="expression" dxfId="161" priority="145">
      <formula>IF(BP38&lt;BP39,1,0)</formula>
    </cfRule>
  </conditionalFormatting>
  <conditionalFormatting sqref="BL42">
    <cfRule type="expression" dxfId="160" priority="142">
      <formula>IF(BP42&gt;BP43,1,0)</formula>
    </cfRule>
    <cfRule type="expression" dxfId="159" priority="140">
      <formula>IF(BP42&lt;BP43,1,0)</formula>
    </cfRule>
  </conditionalFormatting>
  <conditionalFormatting sqref="BL43">
    <cfRule type="expression" dxfId="158" priority="141">
      <formula>IF(BP42&gt;BP43,1,0)</formula>
    </cfRule>
    <cfRule type="expression" dxfId="157" priority="139">
      <formula>IF(BP42&lt;BP43,1,0)</formula>
    </cfRule>
  </conditionalFormatting>
  <conditionalFormatting sqref="BL46">
    <cfRule type="expression" dxfId="156" priority="136">
      <formula>IF(BP46&gt;BP47,1,0)</formula>
    </cfRule>
    <cfRule type="expression" dxfId="155" priority="134">
      <formula>IF(BP46&lt;BP47,1,0)</formula>
    </cfRule>
  </conditionalFormatting>
  <conditionalFormatting sqref="BL47">
    <cfRule type="expression" dxfId="154" priority="133">
      <formula>IF(BP46&lt;BP47,1,0)</formula>
    </cfRule>
    <cfRule type="expression" dxfId="153" priority="135">
      <formula>IF(BP46&gt;BP47,1,0)</formula>
    </cfRule>
  </conditionalFormatting>
  <conditionalFormatting sqref="BL50">
    <cfRule type="expression" dxfId="152" priority="128">
      <formula>IF(BP50&lt;BP51,1,0)</formula>
    </cfRule>
    <cfRule type="expression" dxfId="151" priority="130">
      <formula>IF(BP50&gt;BP51,1,0)</formula>
    </cfRule>
  </conditionalFormatting>
  <conditionalFormatting sqref="BL51">
    <cfRule type="expression" dxfId="150" priority="127">
      <formula>IF(BP50&lt;BP51,1,0)</formula>
    </cfRule>
    <cfRule type="expression" dxfId="149" priority="129">
      <formula>IF(BP50&gt;BP51,1,0)</formula>
    </cfRule>
  </conditionalFormatting>
  <conditionalFormatting sqref="BL54">
    <cfRule type="expression" dxfId="148" priority="122">
      <formula>IF(BP54&lt;BP55,1,0)</formula>
    </cfRule>
    <cfRule type="expression" dxfId="147" priority="124">
      <formula>IF(BP54&gt;BP55,1,0)</formula>
    </cfRule>
  </conditionalFormatting>
  <conditionalFormatting sqref="BL55">
    <cfRule type="expression" dxfId="146" priority="121">
      <formula>IF(BP54&lt;BP55,1,0)</formula>
    </cfRule>
    <cfRule type="expression" dxfId="145" priority="123">
      <formula>IF(BP54&gt;BP55,1,0)</formula>
    </cfRule>
  </conditionalFormatting>
  <conditionalFormatting sqref="BL58">
    <cfRule type="expression" dxfId="144" priority="118">
      <formula>IF(BP58&gt;BP59,1,0)</formula>
    </cfRule>
    <cfRule type="expression" dxfId="143" priority="116">
      <formula>IF(BP58&lt;BP59,1,0)</formula>
    </cfRule>
  </conditionalFormatting>
  <conditionalFormatting sqref="BL59">
    <cfRule type="expression" dxfId="142" priority="115">
      <formula>IF(BP58&lt;BP59,1,0)</formula>
    </cfRule>
    <cfRule type="expression" dxfId="141" priority="117">
      <formula>IF(BP58&gt;BP59,1,0)</formula>
    </cfRule>
  </conditionalFormatting>
  <conditionalFormatting sqref="BL62">
    <cfRule type="expression" dxfId="140" priority="110">
      <formula>IF(BP62&lt;BP63,1,0)</formula>
    </cfRule>
    <cfRule type="expression" dxfId="139" priority="112">
      <formula>IF(BP62&gt;BP63,1,0)</formula>
    </cfRule>
  </conditionalFormatting>
  <conditionalFormatting sqref="BL63">
    <cfRule type="expression" dxfId="138" priority="109">
      <formula>IF(BP62&lt;BP63,1,0)</formula>
    </cfRule>
    <cfRule type="expression" dxfId="137" priority="111">
      <formula>IF(BP62&gt;BP63,1,0)</formula>
    </cfRule>
  </conditionalFormatting>
  <conditionalFormatting sqref="BL66">
    <cfRule type="expression" dxfId="136" priority="106">
      <formula>IF(BP66&gt;BP67,1,0)</formula>
    </cfRule>
    <cfRule type="expression" dxfId="135" priority="104">
      <formula>IF(BP66&lt;BP67,1,0)</formula>
    </cfRule>
  </conditionalFormatting>
  <conditionalFormatting sqref="BL67">
    <cfRule type="expression" dxfId="134" priority="105">
      <formula>IF(BP66&gt;BP67,1,0)</formula>
    </cfRule>
    <cfRule type="expression" dxfId="133" priority="103">
      <formula>IF(BP66&lt;BP67,1,0)</formula>
    </cfRule>
  </conditionalFormatting>
  <conditionalFormatting sqref="BL70">
    <cfRule type="expression" dxfId="132" priority="98">
      <formula>IF(BP70&lt;BP71,1,0)</formula>
    </cfRule>
    <cfRule type="expression" dxfId="131" priority="100">
      <formula>IF(BP70&gt;BP71,1,0)</formula>
    </cfRule>
  </conditionalFormatting>
  <conditionalFormatting sqref="BL71">
    <cfRule type="expression" dxfId="130" priority="97">
      <formula>IF(BP70&lt;BP71,1,0)</formula>
    </cfRule>
    <cfRule type="expression" dxfId="129" priority="99">
      <formula>IF(BP70&gt;BP71,1,0)</formula>
    </cfRule>
  </conditionalFormatting>
  <conditionalFormatting sqref="BM10:BO10">
    <cfRule type="expression" dxfId="128" priority="222">
      <formula>IF(OR(BM10="",BM11=""),0,IF(BM10&gt;BM11,1,0))</formula>
    </cfRule>
  </conditionalFormatting>
  <conditionalFormatting sqref="BM11:BO11">
    <cfRule type="expression" dxfId="127" priority="221">
      <formula>IF(OR(BM10="",BM11=""),0,IF(BM10&lt;BM11,1,0))</formula>
    </cfRule>
  </conditionalFormatting>
  <conditionalFormatting sqref="BM14:BO14">
    <cfRule type="expression" dxfId="126" priority="186">
      <formula>IF(OR(BM14="",BM15=""),0,IF(BM14&gt;BM15,1,0))</formula>
    </cfRule>
  </conditionalFormatting>
  <conditionalFormatting sqref="BM15:BO15">
    <cfRule type="expression" dxfId="125" priority="185">
      <formula>IF(OR(BM14="",BM15=""),0,IF(BM14&lt;BM15,1,0))</formula>
    </cfRule>
  </conditionalFormatting>
  <conditionalFormatting sqref="BM18:BO18">
    <cfRule type="expression" dxfId="124" priority="180">
      <formula>IF(OR(BM18="",BM19=""),0,IF(BM18&gt;BM19,1,0))</formula>
    </cfRule>
  </conditionalFormatting>
  <conditionalFormatting sqref="BM19:BO19">
    <cfRule type="expression" dxfId="123" priority="179">
      <formula>IF(OR(BM18="",BM19=""),0,IF(BM18&lt;BM19,1,0))</formula>
    </cfRule>
  </conditionalFormatting>
  <conditionalFormatting sqref="BM22:BO22">
    <cfRule type="expression" dxfId="122" priority="174">
      <formula>IF(OR(BM22="",BM23=""),0,IF(BM22&gt;BM23,1,0))</formula>
    </cfRule>
  </conditionalFormatting>
  <conditionalFormatting sqref="BM23:BO23">
    <cfRule type="expression" dxfId="121" priority="173">
      <formula>IF(OR(BM22="",BM23=""),0,IF(BM22&lt;BM23,1,0))</formula>
    </cfRule>
  </conditionalFormatting>
  <conditionalFormatting sqref="BM26:BO26">
    <cfRule type="expression" dxfId="120" priority="168">
      <formula>IF(OR(BM26="",BM27=""),0,IF(BM26&gt;BM27,1,0))</formula>
    </cfRule>
  </conditionalFormatting>
  <conditionalFormatting sqref="BM27:BO27">
    <cfRule type="expression" dxfId="119" priority="167">
      <formula>IF(OR(BM26="",BM27=""),0,IF(BM26&lt;BM27,1,0))</formula>
    </cfRule>
  </conditionalFormatting>
  <conditionalFormatting sqref="BM30:BO30">
    <cfRule type="expression" dxfId="118" priority="162">
      <formula>IF(OR(BM30="",BM31=""),0,IF(BM30&gt;BM31,1,0))</formula>
    </cfRule>
  </conditionalFormatting>
  <conditionalFormatting sqref="BM31:BO31">
    <cfRule type="expression" dxfId="117" priority="161">
      <formula>IF(OR(BM30="",BM31=""),0,IF(BM30&lt;BM31,1,0))</formula>
    </cfRule>
  </conditionalFormatting>
  <conditionalFormatting sqref="BM34:BO34">
    <cfRule type="expression" dxfId="116" priority="156">
      <formula>IF(OR(BM34="",BM35=""),0,IF(BM34&gt;BM35,1,0))</formula>
    </cfRule>
  </conditionalFormatting>
  <conditionalFormatting sqref="BM35:BO35">
    <cfRule type="expression" dxfId="115" priority="155">
      <formula>IF(OR(BM34="",BM35=""),0,IF(BM34&lt;BM35,1,0))</formula>
    </cfRule>
  </conditionalFormatting>
  <conditionalFormatting sqref="BM38:BO38">
    <cfRule type="expression" dxfId="114" priority="150">
      <formula>IF(OR(BM38="",BM39=""),0,IF(BM38&gt;BM39,1,0))</formula>
    </cfRule>
  </conditionalFormatting>
  <conditionalFormatting sqref="BM39:BO39">
    <cfRule type="expression" dxfId="113" priority="149">
      <formula>IF(OR(BM38="",BM39=""),0,IF(BM38&lt;BM39,1,0))</formula>
    </cfRule>
  </conditionalFormatting>
  <conditionalFormatting sqref="BM42:BO42">
    <cfRule type="expression" dxfId="112" priority="144">
      <formula>IF(OR(BM42="",BM43=""),0,IF(BM42&gt;BM43,1,0))</formula>
    </cfRule>
  </conditionalFormatting>
  <conditionalFormatting sqref="BM43:BO43">
    <cfRule type="expression" dxfId="111" priority="143">
      <formula>IF(OR(BM42="",BM43=""),0,IF(BM42&lt;BM43,1,0))</formula>
    </cfRule>
  </conditionalFormatting>
  <conditionalFormatting sqref="BM46:BO46">
    <cfRule type="expression" dxfId="110" priority="138">
      <formula>IF(OR(BM46="",BM47=""),0,IF(BM46&gt;BM47,1,0))</formula>
    </cfRule>
  </conditionalFormatting>
  <conditionalFormatting sqref="BM47:BO47">
    <cfRule type="expression" dxfId="109" priority="137">
      <formula>IF(OR(BM46="",BM47=""),0,IF(BM46&lt;BM47,1,0))</formula>
    </cfRule>
  </conditionalFormatting>
  <conditionalFormatting sqref="BM50:BO50">
    <cfRule type="expression" dxfId="108" priority="132">
      <formula>IF(OR(BM50="",BM51=""),0,IF(BM50&gt;BM51,1,0))</formula>
    </cfRule>
  </conditionalFormatting>
  <conditionalFormatting sqref="BM51:BO51">
    <cfRule type="expression" dxfId="107" priority="131">
      <formula>IF(OR(BM50="",BM51=""),0,IF(BM50&lt;BM51,1,0))</formula>
    </cfRule>
  </conditionalFormatting>
  <conditionalFormatting sqref="BM54:BO54">
    <cfRule type="expression" dxfId="106" priority="126">
      <formula>IF(OR(BM54="",BM55=""),0,IF(BM54&gt;BM55,1,0))</formula>
    </cfRule>
  </conditionalFormatting>
  <conditionalFormatting sqref="BM55:BO55">
    <cfRule type="expression" dxfId="105" priority="125">
      <formula>IF(OR(BM54="",BM55=""),0,IF(BM54&lt;BM55,1,0))</formula>
    </cfRule>
  </conditionalFormatting>
  <conditionalFormatting sqref="BM58:BO58">
    <cfRule type="expression" dxfId="104" priority="120">
      <formula>IF(OR(BM58="",BM59=""),0,IF(BM58&gt;BM59,1,0))</formula>
    </cfRule>
  </conditionalFormatting>
  <conditionalFormatting sqref="BM59:BO59">
    <cfRule type="expression" dxfId="103" priority="119">
      <formula>IF(OR(BM58="",BM59=""),0,IF(BM58&lt;BM59,1,0))</formula>
    </cfRule>
  </conditionalFormatting>
  <conditionalFormatting sqref="BM62:BO62">
    <cfRule type="expression" dxfId="102" priority="114">
      <formula>IF(OR(BM62="",BM63=""),0,IF(BM62&gt;BM63,1,0))</formula>
    </cfRule>
  </conditionalFormatting>
  <conditionalFormatting sqref="BM63:BO63">
    <cfRule type="expression" dxfId="101" priority="113">
      <formula>IF(OR(BM62="",BM63=""),0,IF(BM62&lt;BM63,1,0))</formula>
    </cfRule>
  </conditionalFormatting>
  <conditionalFormatting sqref="BM66:BO66">
    <cfRule type="expression" dxfId="100" priority="108">
      <formula>IF(OR(BM66="",BM67=""),0,IF(BM66&gt;BM67,1,0))</formula>
    </cfRule>
  </conditionalFormatting>
  <conditionalFormatting sqref="BM67:BO67">
    <cfRule type="expression" dxfId="99" priority="107">
      <formula>IF(OR(BM66="",BM67=""),0,IF(BM66&lt;BM67,1,0))</formula>
    </cfRule>
  </conditionalFormatting>
  <conditionalFormatting sqref="BM70:BO70">
    <cfRule type="expression" dxfId="98" priority="102">
      <formula>IF(OR(BM70="",BM71=""),0,IF(BM70&gt;BM71,1,0))</formula>
    </cfRule>
  </conditionalFormatting>
  <conditionalFormatting sqref="BM71:BO71">
    <cfRule type="expression" dxfId="97" priority="101">
      <formula>IF(OR(BM70="",BM71=""),0,IF(BM70&lt;BM71,1,0))</formula>
    </cfRule>
  </conditionalFormatting>
  <conditionalFormatting sqref="BS12">
    <cfRule type="expression" dxfId="96" priority="52">
      <formula>IF(BW12&gt;BW13,1,0)</formula>
    </cfRule>
    <cfRule type="expression" dxfId="95" priority="50">
      <formula>IF(BW12&lt;BW13,1,0)</formula>
    </cfRule>
  </conditionalFormatting>
  <conditionalFormatting sqref="BS13">
    <cfRule type="expression" dxfId="94" priority="51">
      <formula>IF(BW12&gt;BW13,1,0)</formula>
    </cfRule>
    <cfRule type="expression" dxfId="93" priority="49">
      <formula>IF(BW12&lt;BW13,1,0)</formula>
    </cfRule>
  </conditionalFormatting>
  <conditionalFormatting sqref="BS20">
    <cfRule type="expression" dxfId="92" priority="56">
      <formula>IF(BW20&lt;BW21,1,0)</formula>
    </cfRule>
    <cfRule type="expression" dxfId="91" priority="58">
      <formula>IF(BW20&gt;BW21,1,0)</formula>
    </cfRule>
  </conditionalFormatting>
  <conditionalFormatting sqref="BS21">
    <cfRule type="expression" dxfId="90" priority="55">
      <formula>IF(BW20&lt;BW21,1,0)</formula>
    </cfRule>
    <cfRule type="expression" dxfId="89" priority="57">
      <formula>IF(BW20&gt;BW21,1,0)</formula>
    </cfRule>
  </conditionalFormatting>
  <conditionalFormatting sqref="BS28">
    <cfRule type="expression" dxfId="88" priority="62">
      <formula>IF(BW28&lt;BW29,1,0)</formula>
    </cfRule>
    <cfRule type="expression" dxfId="87" priority="64">
      <formula>IF(BW28&gt;BW29,1,0)</formula>
    </cfRule>
  </conditionalFormatting>
  <conditionalFormatting sqref="BS29">
    <cfRule type="expression" dxfId="86" priority="61">
      <formula>IF(BW28&lt;BW29,1,0)</formula>
    </cfRule>
    <cfRule type="expression" dxfId="85" priority="63">
      <formula>IF(BW28&gt;BW29,1,0)</formula>
    </cfRule>
  </conditionalFormatting>
  <conditionalFormatting sqref="BS36">
    <cfRule type="expression" dxfId="84" priority="70">
      <formula>IF(BW36&gt;BW37,1,0)</formula>
    </cfRule>
    <cfRule type="expression" dxfId="83" priority="68">
      <formula>IF(BW36&lt;BW37,1,0)</formula>
    </cfRule>
  </conditionalFormatting>
  <conditionalFormatting sqref="BS37">
    <cfRule type="expression" dxfId="82" priority="67">
      <formula>IF(BW36&lt;BW37,1,0)</formula>
    </cfRule>
    <cfRule type="expression" dxfId="81" priority="69">
      <formula>IF(BW36&gt;BW37,1,0)</formula>
    </cfRule>
  </conditionalFormatting>
  <conditionalFormatting sqref="BS44">
    <cfRule type="expression" dxfId="80" priority="74">
      <formula>IF(BW44&lt;BW45,1,0)</formula>
    </cfRule>
    <cfRule type="expression" dxfId="79" priority="76">
      <formula>IF(BW44&gt;BW45,1,0)</formula>
    </cfRule>
  </conditionalFormatting>
  <conditionalFormatting sqref="BS45">
    <cfRule type="expression" dxfId="78" priority="75">
      <formula>IF(BW44&gt;BW45,1,0)</formula>
    </cfRule>
    <cfRule type="expression" dxfId="77" priority="73">
      <formula>IF(BW44&lt;BW45,1,0)</formula>
    </cfRule>
  </conditionalFormatting>
  <conditionalFormatting sqref="BS52">
    <cfRule type="expression" dxfId="76" priority="80">
      <formula>IF(BW52&lt;BW53,1,0)</formula>
    </cfRule>
    <cfRule type="expression" dxfId="75" priority="82">
      <formula>IF(BW52&gt;BW53,1,0)</formula>
    </cfRule>
  </conditionalFormatting>
  <conditionalFormatting sqref="BS53">
    <cfRule type="expression" dxfId="74" priority="79">
      <formula>IF(BW52&lt;BW53,1,0)</formula>
    </cfRule>
    <cfRule type="expression" dxfId="73" priority="81">
      <formula>IF(BW52&gt;BW53,1,0)</formula>
    </cfRule>
  </conditionalFormatting>
  <conditionalFormatting sqref="BS60">
    <cfRule type="expression" dxfId="72" priority="86">
      <formula>IF(BW60&lt;BW61,1,0)</formula>
    </cfRule>
    <cfRule type="expression" dxfId="71" priority="88">
      <formula>IF(BW60&gt;BW61,1,0)</formula>
    </cfRule>
  </conditionalFormatting>
  <conditionalFormatting sqref="BS61">
    <cfRule type="expression" dxfId="70" priority="87">
      <formula>IF(BW60&gt;BW61,1,0)</formula>
    </cfRule>
    <cfRule type="expression" dxfId="69" priority="85">
      <formula>IF(BW60&lt;BW61,1,0)</formula>
    </cfRule>
  </conditionalFormatting>
  <conditionalFormatting sqref="BS68">
    <cfRule type="expression" dxfId="68" priority="94">
      <formula>IF(BW68&gt;BW69,1,0)</formula>
    </cfRule>
    <cfRule type="expression" dxfId="67" priority="92">
      <formula>IF(BW68&lt;BW69,1,0)</formula>
    </cfRule>
  </conditionalFormatting>
  <conditionalFormatting sqref="BS69">
    <cfRule type="expression" dxfId="66" priority="91">
      <formula>IF(BW68&lt;BW69,1,0)</formula>
    </cfRule>
    <cfRule type="expression" dxfId="65" priority="93">
      <formula>IF(BW68&gt;BW69,1,0)</formula>
    </cfRule>
  </conditionalFormatting>
  <conditionalFormatting sqref="BT12:BV12">
    <cfRule type="expression" dxfId="64" priority="54">
      <formula>IF(OR(BT12="",BT13=""),0,IF(BT12&gt;BT13,1,0))</formula>
    </cfRule>
  </conditionalFormatting>
  <conditionalFormatting sqref="BT13:BV13">
    <cfRule type="expression" dxfId="63" priority="53">
      <formula>IF(OR(BT12="",BT13=""),0,IF(BT12&lt;BT13,1,0))</formula>
    </cfRule>
  </conditionalFormatting>
  <conditionalFormatting sqref="BT20:BV20">
    <cfRule type="expression" dxfId="62" priority="60">
      <formula>IF(OR(BT20="",BT21=""),0,IF(BT20&gt;BT21,1,0))</formula>
    </cfRule>
  </conditionalFormatting>
  <conditionalFormatting sqref="BT21:BV21">
    <cfRule type="expression" dxfId="61" priority="59">
      <formula>IF(OR(BT20="",BT21=""),0,IF(BT20&lt;BT21,1,0))</formula>
    </cfRule>
  </conditionalFormatting>
  <conditionalFormatting sqref="BT28:BV28">
    <cfRule type="expression" dxfId="60" priority="66">
      <formula>IF(OR(BT28="",BT29=""),0,IF(BT28&gt;BT29,1,0))</formula>
    </cfRule>
  </conditionalFormatting>
  <conditionalFormatting sqref="BT29:BV29">
    <cfRule type="expression" dxfId="59" priority="65">
      <formula>IF(OR(BT28="",BT29=""),0,IF(BT28&lt;BT29,1,0))</formula>
    </cfRule>
  </conditionalFormatting>
  <conditionalFormatting sqref="BT36:BV36">
    <cfRule type="expression" dxfId="58" priority="72">
      <formula>IF(OR(BT36="",BT37=""),0,IF(BT36&gt;BT37,1,0))</formula>
    </cfRule>
  </conditionalFormatting>
  <conditionalFormatting sqref="BT37:BV37">
    <cfRule type="expression" dxfId="57" priority="71">
      <formula>IF(OR(BT36="",BT37=""),0,IF(BT36&lt;BT37,1,0))</formula>
    </cfRule>
  </conditionalFormatting>
  <conditionalFormatting sqref="BT44:BV44">
    <cfRule type="expression" dxfId="56" priority="78">
      <formula>IF(OR(BT44="",BT45=""),0,IF(BT44&gt;BT45,1,0))</formula>
    </cfRule>
  </conditionalFormatting>
  <conditionalFormatting sqref="BT45:BV45">
    <cfRule type="expression" dxfId="55" priority="77">
      <formula>IF(OR(BT44="",BT45=""),0,IF(BT44&lt;BT45,1,0))</formula>
    </cfRule>
  </conditionalFormatting>
  <conditionalFormatting sqref="BT52:BV52">
    <cfRule type="expression" dxfId="54" priority="84">
      <formula>IF(OR(BT52="",BT53=""),0,IF(BT52&gt;BT53,1,0))</formula>
    </cfRule>
  </conditionalFormatting>
  <conditionalFormatting sqref="BT53:BV53">
    <cfRule type="expression" dxfId="53" priority="83">
      <formula>IF(OR(BT52="",BT53=""),0,IF(BT52&lt;BT53,1,0))</formula>
    </cfRule>
  </conditionalFormatting>
  <conditionalFormatting sqref="BT60:BV60">
    <cfRule type="expression" dxfId="52" priority="90">
      <formula>IF(OR(BT60="",BT61=""),0,IF(BT60&gt;BT61,1,0))</formula>
    </cfRule>
  </conditionalFormatting>
  <conditionalFormatting sqref="BT61:BV61">
    <cfRule type="expression" dxfId="51" priority="89">
      <formula>IF(OR(BT60="",BT61=""),0,IF(BT60&lt;BT61,1,0))</formula>
    </cfRule>
  </conditionalFormatting>
  <conditionalFormatting sqref="BT68:BV68">
    <cfRule type="expression" dxfId="50" priority="96">
      <formula>IF(OR(BT68="",BT69=""),0,IF(BT68&gt;BT69,1,0))</formula>
    </cfRule>
  </conditionalFormatting>
  <conditionalFormatting sqref="BT69:BV69">
    <cfRule type="expression" dxfId="49" priority="95">
      <formula>IF(OR(BT68="",BT69=""),0,IF(BT68&lt;BT69,1,0))</formula>
    </cfRule>
  </conditionalFormatting>
  <conditionalFormatting sqref="BZ16">
    <cfRule type="expression" dxfId="48" priority="46">
      <formula>IF(CD16&gt;CD17,1,0)</formula>
    </cfRule>
    <cfRule type="expression" dxfId="47" priority="44">
      <formula>IF(CD16&lt;CD17,1,0)</formula>
    </cfRule>
  </conditionalFormatting>
  <conditionalFormatting sqref="BZ17">
    <cfRule type="expression" dxfId="46" priority="45">
      <formula>IF(CD16&gt;CD17,1,0)</formula>
    </cfRule>
    <cfRule type="expression" dxfId="45" priority="43">
      <formula>IF(CD16&lt;CD17,1,0)</formula>
    </cfRule>
  </conditionalFormatting>
  <conditionalFormatting sqref="BZ32">
    <cfRule type="expression" dxfId="44" priority="38">
      <formula>IF(CD32&lt;CD33,1,0)</formula>
    </cfRule>
    <cfRule type="expression" dxfId="43" priority="40">
      <formula>IF(CD32&gt;CD33,1,0)</formula>
    </cfRule>
  </conditionalFormatting>
  <conditionalFormatting sqref="BZ33">
    <cfRule type="expression" dxfId="42" priority="37">
      <formula>IF(CD32&lt;CD33,1,0)</formula>
    </cfRule>
    <cfRule type="expression" dxfId="41" priority="39">
      <formula>IF(CD32&gt;CD33,1,0)</formula>
    </cfRule>
  </conditionalFormatting>
  <conditionalFormatting sqref="BZ48">
    <cfRule type="expression" dxfId="40" priority="34">
      <formula>IF(CD48&gt;CD49,1,0)</formula>
    </cfRule>
    <cfRule type="expression" dxfId="39" priority="32">
      <formula>IF(CD48&lt;CD49,1,0)</formula>
    </cfRule>
  </conditionalFormatting>
  <conditionalFormatting sqref="BZ49">
    <cfRule type="expression" dxfId="38" priority="33">
      <formula>IF(CD48&gt;CD49,1,0)</formula>
    </cfRule>
    <cfRule type="expression" dxfId="37" priority="31">
      <formula>IF(CD48&lt;CD49,1,0)</formula>
    </cfRule>
  </conditionalFormatting>
  <conditionalFormatting sqref="BZ64">
    <cfRule type="expression" dxfId="36" priority="28">
      <formula>IF(CD64&gt;CD65,1,0)</formula>
    </cfRule>
    <cfRule type="expression" dxfId="35" priority="26">
      <formula>IF(CD64&lt;CD65,1,0)</formula>
    </cfRule>
  </conditionalFormatting>
  <conditionalFormatting sqref="BZ65">
    <cfRule type="expression" dxfId="34" priority="25">
      <formula>IF(CD64&lt;CD65,1,0)</formula>
    </cfRule>
    <cfRule type="expression" dxfId="33" priority="27">
      <formula>IF(CD64&gt;CD65,1,0)</formula>
    </cfRule>
  </conditionalFormatting>
  <conditionalFormatting sqref="CA16:CC16">
    <cfRule type="expression" dxfId="32" priority="48">
      <formula>IF(OR(CA16="",CA17=""),0,IF(CA16&gt;CA17,1,0))</formula>
    </cfRule>
  </conditionalFormatting>
  <conditionalFormatting sqref="CA17:CC17">
    <cfRule type="expression" dxfId="31" priority="47">
      <formula>IF(OR(CA16="",CA17=""),0,IF(CA16&lt;CA17,1,0))</formula>
    </cfRule>
  </conditionalFormatting>
  <conditionalFormatting sqref="CA32:CC32">
    <cfRule type="expression" dxfId="30" priority="42">
      <formula>IF(OR(CA32="",CA33=""),0,IF(CA32&gt;CA33,1,0))</formula>
    </cfRule>
  </conditionalFormatting>
  <conditionalFormatting sqref="CA33:CC33">
    <cfRule type="expression" dxfId="29" priority="41">
      <formula>IF(OR(CA32="",CA33=""),0,IF(CA32&lt;CA33,1,0))</formula>
    </cfRule>
  </conditionalFormatting>
  <conditionalFormatting sqref="CA48:CC48">
    <cfRule type="expression" dxfId="28" priority="36">
      <formula>IF(OR(CA48="",CA49=""),0,IF(CA48&gt;CA49,1,0))</formula>
    </cfRule>
  </conditionalFormatting>
  <conditionalFormatting sqref="CA49:CC49">
    <cfRule type="expression" dxfId="27" priority="35">
      <formula>IF(OR(CA48="",CA49=""),0,IF(CA48&lt;CA49,1,0))</formula>
    </cfRule>
  </conditionalFormatting>
  <conditionalFormatting sqref="CA64:CC64">
    <cfRule type="expression" dxfId="26" priority="30">
      <formula>IF(OR(CA64="",CA65=""),0,IF(CA64&gt;CA65,1,0))</formula>
    </cfRule>
  </conditionalFormatting>
  <conditionalFormatting sqref="CA65:CC65">
    <cfRule type="expression" dxfId="25" priority="29">
      <formula>IF(OR(CA64="",CA65=""),0,IF(CA64&lt;CA65,1,0))</formula>
    </cfRule>
  </conditionalFormatting>
  <conditionalFormatting sqref="CG23">
    <cfRule type="expression" dxfId="24" priority="16">
      <formula>IF(CK23&gt;CK24,1,0)</formula>
    </cfRule>
    <cfRule type="expression" dxfId="23" priority="14">
      <formula>IF(CK23&lt;CK24,1,0)</formula>
    </cfRule>
  </conditionalFormatting>
  <conditionalFormatting sqref="CG24">
    <cfRule type="expression" dxfId="22" priority="15">
      <formula>IF(CK23&gt;CK24,1,0)</formula>
    </cfRule>
    <cfRule type="expression" dxfId="21" priority="13">
      <formula>IF(CK23&lt;CK24,1,0)</formula>
    </cfRule>
  </conditionalFormatting>
  <conditionalFormatting sqref="CG55">
    <cfRule type="expression" dxfId="20" priority="20">
      <formula>IF(CK55&lt;CK56,1,0)</formula>
    </cfRule>
    <cfRule type="expression" dxfId="19" priority="22">
      <formula>IF(CK55&gt;CK56,1,0)</formula>
    </cfRule>
  </conditionalFormatting>
  <conditionalFormatting sqref="CG56">
    <cfRule type="expression" dxfId="18" priority="21">
      <formula>IF(CK55&gt;CK56,1,0)</formula>
    </cfRule>
    <cfRule type="expression" dxfId="17" priority="19">
      <formula>IF(CK55&lt;CK56,1,0)</formula>
    </cfRule>
  </conditionalFormatting>
  <conditionalFormatting sqref="CH23:CJ23">
    <cfRule type="expression" dxfId="16" priority="18">
      <formula>IF(OR(CH23="",CH24=""),0,IF(CH23&gt;CH24,1,0))</formula>
    </cfRule>
  </conditionalFormatting>
  <conditionalFormatting sqref="CH24:CJ24">
    <cfRule type="expression" dxfId="15" priority="17">
      <formula>IF(OR(CH23="",CH24=""),0,IF(CH23&lt;CH24,1,0))</formula>
    </cfRule>
  </conditionalFormatting>
  <conditionalFormatting sqref="CH55:CJ55">
    <cfRule type="expression" dxfId="14" priority="24">
      <formula>IF(OR(CH55="",CH56=""),0,IF(CH55&gt;CH56,1,0))</formula>
    </cfRule>
  </conditionalFormatting>
  <conditionalFormatting sqref="CH56:CJ56">
    <cfRule type="expression" dxfId="13" priority="23">
      <formula>IF(OR(CH55="",CH56=""),0,IF(CH55&lt;CH56,1,0))</formula>
    </cfRule>
  </conditionalFormatting>
  <conditionalFormatting sqref="CN37">
    <cfRule type="expression" dxfId="12" priority="10">
      <formula>IF(CR37&gt;CR38,1,0)</formula>
    </cfRule>
    <cfRule type="expression" dxfId="11" priority="8">
      <formula>IF(CR37&lt;CR38,1,0)</formula>
    </cfRule>
  </conditionalFormatting>
  <conditionalFormatting sqref="CN38">
    <cfRule type="expression" dxfId="10" priority="9">
      <formula>IF(CR37&gt;CR38,1,0)</formula>
    </cfRule>
    <cfRule type="expression" dxfId="9" priority="7">
      <formula>IF(CR37&lt;CR38,1,0)</formula>
    </cfRule>
  </conditionalFormatting>
  <conditionalFormatting sqref="CN48">
    <cfRule type="expression" dxfId="8" priority="4">
      <formula>IF(CR48&gt;CR49,1,0)</formula>
    </cfRule>
    <cfRule type="expression" dxfId="7" priority="2">
      <formula>IF(CR48&lt;CR49,1,0)</formula>
    </cfRule>
  </conditionalFormatting>
  <conditionalFormatting sqref="CN49">
    <cfRule type="expression" dxfId="6" priority="3">
      <formula>IF(CR48&gt;CR49,1,0)</formula>
    </cfRule>
    <cfRule type="expression" dxfId="5" priority="1">
      <formula>IF(CR48&lt;CR49,1,0)</formula>
    </cfRule>
  </conditionalFormatting>
  <conditionalFormatting sqref="CO37:CQ37">
    <cfRule type="expression" dxfId="4" priority="12">
      <formula>IF(OR(CO37="",CO38=""),0,IF(CO37&gt;CO38,1,0))</formula>
    </cfRule>
  </conditionalFormatting>
  <conditionalFormatting sqref="CO38:CQ38">
    <cfRule type="expression" dxfId="3" priority="11">
      <formula>IF(OR(CO37="",CO38=""),0,IF(CO37&lt;CO38,1,0))</formula>
    </cfRule>
  </conditionalFormatting>
  <conditionalFormatting sqref="CO48:CQ48">
    <cfRule type="expression" dxfId="2" priority="6">
      <formula>IF(OR(CO48="",CO49=""),0,IF(CO48&gt;CO49,1,0))</formula>
    </cfRule>
  </conditionalFormatting>
  <conditionalFormatting sqref="CO49:CQ49">
    <cfRule type="expression" dxfId="1" priority="5">
      <formula>IF(OR(CO48="",CO49=""),0,IF(CO48&lt;CO49,1,0))</formula>
    </cfRule>
  </conditionalFormatting>
  <dataValidations count="4">
    <dataValidation type="list" allowBlank="1" showInputMessage="1" showErrorMessage="1" promptTitle="Match results" prompt="Regular time result (90 min)" sqref="BM10:BM11 BM14:BM15 BM18:BM19 BM22:BM23 BM26:BM27 BM30:BM31 BM34:BM35 BM38:BM39 BT12:BT13 BT20:BT21 BT28:BT29 BT36:BT37 CA32:CA33 CA16:CA17 CH23:CH24 BM42:BM43 BM46:BM47 BM50:BM51 BM54:BM55 BM58:BM59 BM62:BM63 BM66:BM67 BM70:BM71 BT44:BT45 BT52:BT53 BT60:BT61 BT68:BT69 CA64:CA65 CA48:CA49 CH55:CH56 CO37:CO38 CO48:CO49" xr:uid="{00000000-0002-0000-0200-000001000000}">
      <formula1>"0,1,2,3,4,5,6,7,8,9,10,11,12,13,14,15,16,17,18,19,20"</formula1>
    </dataValidation>
    <dataValidation type="list" allowBlank="1" showInputMessage="1" showErrorMessage="1" promptTitle="Match result" prompt="Extra-time result (+30 min)" sqref="BN10:BN11 BN14:BN15 BN18:BN19 BN22:BN23 BN26:BN27 BN30:BN31 BN34:BN35 BN38:BN39 BU12:BU13 BU20:BU21 BU28:BU29 BU36:BU37 CB16:CB17 CB32:CB33 CI23:CI24 BN42:BN43 BN46:BN47 BN50:BN51 BN54:BN55 BN58:BN59 BN62:BN63 BN66:BN67 BN70:BN71 BU44:BU45 BU52:BU53 BU60:BU61 BU68:BU69 CB48:CB49 CB64:CB65 CI55:CI56 CP37:CP38 CP48:CP49" xr:uid="{00000000-0002-0000-0200-000002000000}">
      <formula1>"0,1,2,3,4,5"</formula1>
    </dataValidation>
    <dataValidation type="list" allowBlank="1" showInputMessage="1" showErrorMessage="1" promptTitle="Match result" prompt="Penalties" sqref="BO10:BO11 BO14:BO15 BO18:BO19 BO22:BO23 BO26:BO27 BO30:BO31 BO34:BO35 BO38:BO39 BV36:BV37 BV28:BV29 BV20:BV21 BV12:BV13 CC16:CC17 CC32:CC33 CJ23:CJ24 BO42:BO43 BO46:BO47 BO50:BO51 BO54:BO55 BO58:BO59 BO62:BO63 BO66:BO67 BO70:BO71 BV68:BV69 BV60:BV61 BV52:BV53 BV44:BV45 CC48:CC49 CC64:CC65 CJ55:CJ56 CQ37:CQ38 CQ48:CQ49" xr:uid="{00000000-0002-0000-0200-000003000000}">
      <formula1>"0,1,2,3,4,5,6,7,8,9,10,11,12,13,14,15,16,17,18,19,20"</formula1>
    </dataValidation>
    <dataValidation type="list" allowBlank="1" showInputMessage="1" showErrorMessage="1" sqref="F7:G78" xr:uid="{00000000-0002-0000-0200-000000000000}">
      <formula1>"0,1,2,3,4,5,6,7,8,9"</formula1>
    </dataValidation>
  </dataValidations>
  <hyperlinks>
    <hyperlink ref="O3" location="Settings!C4" tooltip="Settings" display="Settings!C4" xr:uid="{00000000-0004-0000-0200-000000000000}"/>
    <hyperlink ref="J5:P5" r:id="rId1" tooltip="Excel Schedule" display="Home Page: www.excely.com" xr:uid="{00000000-0004-0000-0200-000001000000}"/>
    <hyperlink ref="J5:P6" r:id="rId2" tooltip="World Cup 2026 Schedule in Excel" display="Home Page: www.excely.com" xr:uid="{00000000-0004-0000-0200-000002000000}"/>
    <hyperlink ref="C83:G88" r:id="rId3" tooltip="World Cup 2026 Interactive Schedule Online - www.wallchart.io" display="http://www.wallchart.io/football/world-cup-2026.html" xr:uid="{B1669A47-7637-4B28-8617-393E712CE0C6}"/>
  </hyperlinks>
  <printOptions horizontalCentered="1" verticalCentered="1"/>
  <pageMargins left="0.7" right="0.7" top="0.75" bottom="0.75" header="0.3" footer="0.3"/>
  <pageSetup paperSize="9" scale="35" orientation="landscape" r:id="rId4"/>
  <headerFooter>
    <oddFooter>&amp;Cwww.excely.com (c) 2026</oddFooter>
  </headerFooter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2A316-429C-49FB-9962-F944380EA825}">
  <dimension ref="B1:K500"/>
  <sheetViews>
    <sheetView showGridLines="0" workbookViewId="0">
      <selection activeCell="B6" sqref="B6"/>
    </sheetView>
  </sheetViews>
  <sheetFormatPr defaultColWidth="9.140625" defaultRowHeight="15" x14ac:dyDescent="0.25"/>
  <cols>
    <col min="1" max="1" width="2.42578125" style="82" customWidth="1"/>
    <col min="2" max="2" width="9.140625" style="81"/>
    <col min="3" max="3" width="13.7109375" style="81" customWidth="1"/>
    <col min="4" max="11" width="9.42578125" style="81" customWidth="1"/>
    <col min="12" max="16384" width="9.140625" style="82"/>
  </cols>
  <sheetData>
    <row r="1" spans="2:11" ht="8.25" customHeight="1" x14ac:dyDescent="0.25"/>
    <row r="2" spans="2:11" ht="21" x14ac:dyDescent="0.25">
      <c r="B2" s="108" t="s">
        <v>3193</v>
      </c>
    </row>
    <row r="3" spans="2:11" x14ac:dyDescent="0.25">
      <c r="B3" s="109">
        <f>MATCH(C3,C6:C500,0)</f>
        <v>67</v>
      </c>
      <c r="C3" s="121" t="str">
        <f>'2026 World Cup'!AR91</f>
        <v>BDEFIJKL</v>
      </c>
      <c r="D3" s="121" t="str">
        <f>VLOOKUP($C3,$C$6:$K$500,2,FALSE)</f>
        <v>3E</v>
      </c>
      <c r="E3" s="121" t="str">
        <f>VLOOKUP($C3,$C$6:$K$500,3,FALSE)</f>
        <v>3J</v>
      </c>
      <c r="F3" s="121" t="str">
        <f>VLOOKUP($C3,$C$6:$K$500,4,FALSE)</f>
        <v>3B</v>
      </c>
      <c r="G3" s="121" t="str">
        <f>VLOOKUP($C3,$C$6:$K$500,5,FALSE)</f>
        <v>3D</v>
      </c>
      <c r="H3" s="121" t="str">
        <f>VLOOKUP($C3,$C$6:$K$500,6,FALSE)</f>
        <v>3I</v>
      </c>
      <c r="I3" s="121" t="str">
        <f>VLOOKUP($C3,$C$6:$K$500,7,FALSE)</f>
        <v>3F</v>
      </c>
      <c r="J3" s="121" t="str">
        <f>VLOOKUP($C3,$C$6:$K$500,8,FALSE)</f>
        <v>3L</v>
      </c>
      <c r="K3" s="122" t="str">
        <f>VLOOKUP($C3,$C$6:$K$500,9,FALSE)</f>
        <v>3K</v>
      </c>
    </row>
    <row r="5" spans="2:11" ht="19.5" customHeight="1" x14ac:dyDescent="0.25">
      <c r="B5" s="84" t="s">
        <v>3194</v>
      </c>
      <c r="C5" s="85"/>
      <c r="D5" s="86" t="s">
        <v>3195</v>
      </c>
      <c r="E5" s="86" t="s">
        <v>3196</v>
      </c>
      <c r="F5" s="86" t="s">
        <v>3197</v>
      </c>
      <c r="G5" s="86" t="s">
        <v>3198</v>
      </c>
      <c r="H5" s="86" t="s">
        <v>3199</v>
      </c>
      <c r="I5" s="86" t="s">
        <v>3200</v>
      </c>
      <c r="J5" s="86" t="s">
        <v>3201</v>
      </c>
      <c r="K5" s="87" t="s">
        <v>3202</v>
      </c>
    </row>
    <row r="6" spans="2:11" x14ac:dyDescent="0.25">
      <c r="B6" s="88">
        <v>1</v>
      </c>
      <c r="C6" s="83" t="s">
        <v>3203</v>
      </c>
      <c r="D6" s="83" t="s">
        <v>3185</v>
      </c>
      <c r="E6" s="83" t="s">
        <v>3190</v>
      </c>
      <c r="F6" s="83" t="s">
        <v>3189</v>
      </c>
      <c r="G6" s="83" t="s">
        <v>3186</v>
      </c>
      <c r="H6" s="83" t="s">
        <v>3188</v>
      </c>
      <c r="I6" s="83" t="s">
        <v>3187</v>
      </c>
      <c r="J6" s="83" t="s">
        <v>3192</v>
      </c>
      <c r="K6" s="89" t="s">
        <v>3191</v>
      </c>
    </row>
    <row r="7" spans="2:11" x14ac:dyDescent="0.25">
      <c r="B7" s="88">
        <v>2</v>
      </c>
      <c r="C7" s="83" t="s">
        <v>3204</v>
      </c>
      <c r="D7" s="83" t="s">
        <v>3188</v>
      </c>
      <c r="E7" s="83" t="s">
        <v>3187</v>
      </c>
      <c r="F7" s="83" t="s">
        <v>3189</v>
      </c>
      <c r="G7" s="83" t="s">
        <v>3184</v>
      </c>
      <c r="H7" s="83" t="s">
        <v>3190</v>
      </c>
      <c r="I7" s="83" t="s">
        <v>3186</v>
      </c>
      <c r="J7" s="83" t="s">
        <v>3192</v>
      </c>
      <c r="K7" s="89" t="s">
        <v>3191</v>
      </c>
    </row>
    <row r="8" spans="2:11" x14ac:dyDescent="0.25">
      <c r="B8" s="88">
        <v>3</v>
      </c>
      <c r="C8" s="83" t="s">
        <v>3205</v>
      </c>
      <c r="D8" s="83" t="s">
        <v>3185</v>
      </c>
      <c r="E8" s="83" t="s">
        <v>3190</v>
      </c>
      <c r="F8" s="83" t="s">
        <v>3189</v>
      </c>
      <c r="G8" s="83" t="s">
        <v>3184</v>
      </c>
      <c r="H8" s="83" t="s">
        <v>3188</v>
      </c>
      <c r="I8" s="83" t="s">
        <v>3187</v>
      </c>
      <c r="J8" s="83" t="s">
        <v>3192</v>
      </c>
      <c r="K8" s="89" t="s">
        <v>3191</v>
      </c>
    </row>
    <row r="9" spans="2:11" x14ac:dyDescent="0.25">
      <c r="B9" s="88">
        <v>4</v>
      </c>
      <c r="C9" s="83" t="s">
        <v>3206</v>
      </c>
      <c r="D9" s="83" t="s">
        <v>3185</v>
      </c>
      <c r="E9" s="83" t="s">
        <v>3190</v>
      </c>
      <c r="F9" s="83" t="s">
        <v>3189</v>
      </c>
      <c r="G9" s="83" t="s">
        <v>3184</v>
      </c>
      <c r="H9" s="83" t="s">
        <v>3188</v>
      </c>
      <c r="I9" s="83" t="s">
        <v>3186</v>
      </c>
      <c r="J9" s="83" t="s">
        <v>3192</v>
      </c>
      <c r="K9" s="89" t="s">
        <v>3191</v>
      </c>
    </row>
    <row r="10" spans="2:11" x14ac:dyDescent="0.25">
      <c r="B10" s="88">
        <v>5</v>
      </c>
      <c r="C10" s="83" t="s">
        <v>3207</v>
      </c>
      <c r="D10" s="83" t="s">
        <v>3185</v>
      </c>
      <c r="E10" s="83" t="s">
        <v>3187</v>
      </c>
      <c r="F10" s="83" t="s">
        <v>3189</v>
      </c>
      <c r="G10" s="83" t="s">
        <v>3184</v>
      </c>
      <c r="H10" s="83" t="s">
        <v>3190</v>
      </c>
      <c r="I10" s="83" t="s">
        <v>3186</v>
      </c>
      <c r="J10" s="83" t="s">
        <v>3192</v>
      </c>
      <c r="K10" s="89" t="s">
        <v>3191</v>
      </c>
    </row>
    <row r="11" spans="2:11" x14ac:dyDescent="0.25">
      <c r="B11" s="88">
        <v>6</v>
      </c>
      <c r="C11" s="83" t="s">
        <v>3208</v>
      </c>
      <c r="D11" s="83" t="s">
        <v>3185</v>
      </c>
      <c r="E11" s="83" t="s">
        <v>3187</v>
      </c>
      <c r="F11" s="83" t="s">
        <v>3190</v>
      </c>
      <c r="G11" s="83" t="s">
        <v>3184</v>
      </c>
      <c r="H11" s="83" t="s">
        <v>3188</v>
      </c>
      <c r="I11" s="83" t="s">
        <v>3186</v>
      </c>
      <c r="J11" s="83" t="s">
        <v>3192</v>
      </c>
      <c r="K11" s="89" t="s">
        <v>3191</v>
      </c>
    </row>
    <row r="12" spans="2:11" x14ac:dyDescent="0.25">
      <c r="B12" s="88">
        <v>7</v>
      </c>
      <c r="C12" s="83" t="s">
        <v>3209</v>
      </c>
      <c r="D12" s="83" t="s">
        <v>3185</v>
      </c>
      <c r="E12" s="83" t="s">
        <v>3187</v>
      </c>
      <c r="F12" s="83" t="s">
        <v>3189</v>
      </c>
      <c r="G12" s="83" t="s">
        <v>3184</v>
      </c>
      <c r="H12" s="83" t="s">
        <v>3188</v>
      </c>
      <c r="I12" s="83" t="s">
        <v>3186</v>
      </c>
      <c r="J12" s="83" t="s">
        <v>3192</v>
      </c>
      <c r="K12" s="89" t="s">
        <v>3191</v>
      </c>
    </row>
    <row r="13" spans="2:11" x14ac:dyDescent="0.25">
      <c r="B13" s="88">
        <v>8</v>
      </c>
      <c r="C13" s="83" t="s">
        <v>3210</v>
      </c>
      <c r="D13" s="83" t="s">
        <v>3185</v>
      </c>
      <c r="E13" s="83" t="s">
        <v>3187</v>
      </c>
      <c r="F13" s="83" t="s">
        <v>3190</v>
      </c>
      <c r="G13" s="83" t="s">
        <v>3184</v>
      </c>
      <c r="H13" s="83" t="s">
        <v>3188</v>
      </c>
      <c r="I13" s="83" t="s">
        <v>3186</v>
      </c>
      <c r="J13" s="83" t="s">
        <v>3192</v>
      </c>
      <c r="K13" s="89" t="s">
        <v>3189</v>
      </c>
    </row>
    <row r="14" spans="2:11" x14ac:dyDescent="0.25">
      <c r="B14" s="88">
        <v>9</v>
      </c>
      <c r="C14" s="83" t="s">
        <v>3211</v>
      </c>
      <c r="D14" s="83" t="s">
        <v>3185</v>
      </c>
      <c r="E14" s="83" t="s">
        <v>3187</v>
      </c>
      <c r="F14" s="83" t="s">
        <v>3190</v>
      </c>
      <c r="G14" s="83" t="s">
        <v>3184</v>
      </c>
      <c r="H14" s="83" t="s">
        <v>3188</v>
      </c>
      <c r="I14" s="83" t="s">
        <v>3186</v>
      </c>
      <c r="J14" s="83" t="s">
        <v>3189</v>
      </c>
      <c r="K14" s="89" t="s">
        <v>3191</v>
      </c>
    </row>
    <row r="15" spans="2:11" x14ac:dyDescent="0.25">
      <c r="B15" s="88">
        <v>10</v>
      </c>
      <c r="C15" s="83" t="s">
        <v>3212</v>
      </c>
      <c r="D15" s="83" t="s">
        <v>3188</v>
      </c>
      <c r="E15" s="83" t="s">
        <v>3187</v>
      </c>
      <c r="F15" s="83" t="s">
        <v>3189</v>
      </c>
      <c r="G15" s="83" t="s">
        <v>3182</v>
      </c>
      <c r="H15" s="83" t="s">
        <v>3190</v>
      </c>
      <c r="I15" s="83" t="s">
        <v>3186</v>
      </c>
      <c r="J15" s="83" t="s">
        <v>3192</v>
      </c>
      <c r="K15" s="89" t="s">
        <v>3191</v>
      </c>
    </row>
    <row r="16" spans="2:11" x14ac:dyDescent="0.25">
      <c r="B16" s="88">
        <v>11</v>
      </c>
      <c r="C16" s="83" t="s">
        <v>3213</v>
      </c>
      <c r="D16" s="83" t="s">
        <v>3185</v>
      </c>
      <c r="E16" s="83" t="s">
        <v>3190</v>
      </c>
      <c r="F16" s="83" t="s">
        <v>3189</v>
      </c>
      <c r="G16" s="83" t="s">
        <v>3182</v>
      </c>
      <c r="H16" s="83" t="s">
        <v>3188</v>
      </c>
      <c r="I16" s="83" t="s">
        <v>3187</v>
      </c>
      <c r="J16" s="83" t="s">
        <v>3192</v>
      </c>
      <c r="K16" s="89" t="s">
        <v>3191</v>
      </c>
    </row>
    <row r="17" spans="2:11" x14ac:dyDescent="0.25">
      <c r="B17" s="88">
        <v>12</v>
      </c>
      <c r="C17" s="83" t="s">
        <v>3214</v>
      </c>
      <c r="D17" s="83" t="s">
        <v>3185</v>
      </c>
      <c r="E17" s="83" t="s">
        <v>3190</v>
      </c>
      <c r="F17" s="83" t="s">
        <v>3189</v>
      </c>
      <c r="G17" s="83" t="s">
        <v>3182</v>
      </c>
      <c r="H17" s="83" t="s">
        <v>3188</v>
      </c>
      <c r="I17" s="83" t="s">
        <v>3186</v>
      </c>
      <c r="J17" s="83" t="s">
        <v>3192</v>
      </c>
      <c r="K17" s="89" t="s">
        <v>3191</v>
      </c>
    </row>
    <row r="18" spans="2:11" x14ac:dyDescent="0.25">
      <c r="B18" s="88">
        <v>13</v>
      </c>
      <c r="C18" s="83" t="s">
        <v>3215</v>
      </c>
      <c r="D18" s="83" t="s">
        <v>3185</v>
      </c>
      <c r="E18" s="83" t="s">
        <v>3187</v>
      </c>
      <c r="F18" s="83" t="s">
        <v>3189</v>
      </c>
      <c r="G18" s="83" t="s">
        <v>3182</v>
      </c>
      <c r="H18" s="83" t="s">
        <v>3190</v>
      </c>
      <c r="I18" s="83" t="s">
        <v>3186</v>
      </c>
      <c r="J18" s="83" t="s">
        <v>3192</v>
      </c>
      <c r="K18" s="89" t="s">
        <v>3191</v>
      </c>
    </row>
    <row r="19" spans="2:11" x14ac:dyDescent="0.25">
      <c r="B19" s="88">
        <v>14</v>
      </c>
      <c r="C19" s="83" t="s">
        <v>3216</v>
      </c>
      <c r="D19" s="83" t="s">
        <v>3185</v>
      </c>
      <c r="E19" s="83" t="s">
        <v>3187</v>
      </c>
      <c r="F19" s="83" t="s">
        <v>3190</v>
      </c>
      <c r="G19" s="83" t="s">
        <v>3182</v>
      </c>
      <c r="H19" s="83" t="s">
        <v>3188</v>
      </c>
      <c r="I19" s="83" t="s">
        <v>3186</v>
      </c>
      <c r="J19" s="83" t="s">
        <v>3192</v>
      </c>
      <c r="K19" s="89" t="s">
        <v>3191</v>
      </c>
    </row>
    <row r="20" spans="2:11" x14ac:dyDescent="0.25">
      <c r="B20" s="88">
        <v>15</v>
      </c>
      <c r="C20" s="83" t="s">
        <v>3217</v>
      </c>
      <c r="D20" s="83" t="s">
        <v>3185</v>
      </c>
      <c r="E20" s="83" t="s">
        <v>3187</v>
      </c>
      <c r="F20" s="83" t="s">
        <v>3189</v>
      </c>
      <c r="G20" s="83" t="s">
        <v>3182</v>
      </c>
      <c r="H20" s="83" t="s">
        <v>3188</v>
      </c>
      <c r="I20" s="83" t="s">
        <v>3186</v>
      </c>
      <c r="J20" s="83" t="s">
        <v>3192</v>
      </c>
      <c r="K20" s="89" t="s">
        <v>3191</v>
      </c>
    </row>
    <row r="21" spans="2:11" x14ac:dyDescent="0.25">
      <c r="B21" s="88">
        <v>16</v>
      </c>
      <c r="C21" s="83" t="s">
        <v>3218</v>
      </c>
      <c r="D21" s="83" t="s">
        <v>3185</v>
      </c>
      <c r="E21" s="83" t="s">
        <v>3187</v>
      </c>
      <c r="F21" s="83" t="s">
        <v>3190</v>
      </c>
      <c r="G21" s="83" t="s">
        <v>3182</v>
      </c>
      <c r="H21" s="83" t="s">
        <v>3188</v>
      </c>
      <c r="I21" s="83" t="s">
        <v>3186</v>
      </c>
      <c r="J21" s="83" t="s">
        <v>3192</v>
      </c>
      <c r="K21" s="89" t="s">
        <v>3189</v>
      </c>
    </row>
    <row r="22" spans="2:11" x14ac:dyDescent="0.25">
      <c r="B22" s="88">
        <v>17</v>
      </c>
      <c r="C22" s="83" t="s">
        <v>3219</v>
      </c>
      <c r="D22" s="83" t="s">
        <v>3185</v>
      </c>
      <c r="E22" s="83" t="s">
        <v>3187</v>
      </c>
      <c r="F22" s="83" t="s">
        <v>3190</v>
      </c>
      <c r="G22" s="83" t="s">
        <v>3182</v>
      </c>
      <c r="H22" s="83" t="s">
        <v>3188</v>
      </c>
      <c r="I22" s="83" t="s">
        <v>3186</v>
      </c>
      <c r="J22" s="83" t="s">
        <v>3189</v>
      </c>
      <c r="K22" s="89" t="s">
        <v>3191</v>
      </c>
    </row>
    <row r="23" spans="2:11" x14ac:dyDescent="0.25">
      <c r="B23" s="88">
        <v>18</v>
      </c>
      <c r="C23" s="83" t="s">
        <v>3220</v>
      </c>
      <c r="D23" s="83" t="s">
        <v>3188</v>
      </c>
      <c r="E23" s="83" t="s">
        <v>3187</v>
      </c>
      <c r="F23" s="83" t="s">
        <v>3189</v>
      </c>
      <c r="G23" s="83" t="s">
        <v>3182</v>
      </c>
      <c r="H23" s="83" t="s">
        <v>3190</v>
      </c>
      <c r="I23" s="83" t="s">
        <v>3184</v>
      </c>
      <c r="J23" s="83" t="s">
        <v>3192</v>
      </c>
      <c r="K23" s="89" t="s">
        <v>3191</v>
      </c>
    </row>
    <row r="24" spans="2:11" x14ac:dyDescent="0.25">
      <c r="B24" s="88">
        <v>19</v>
      </c>
      <c r="C24" s="83" t="s">
        <v>3221</v>
      </c>
      <c r="D24" s="83" t="s">
        <v>3182</v>
      </c>
      <c r="E24" s="83" t="s">
        <v>3190</v>
      </c>
      <c r="F24" s="83" t="s">
        <v>3189</v>
      </c>
      <c r="G24" s="83" t="s">
        <v>3184</v>
      </c>
      <c r="H24" s="83" t="s">
        <v>3188</v>
      </c>
      <c r="I24" s="83" t="s">
        <v>3186</v>
      </c>
      <c r="J24" s="83" t="s">
        <v>3192</v>
      </c>
      <c r="K24" s="89" t="s">
        <v>3191</v>
      </c>
    </row>
    <row r="25" spans="2:11" x14ac:dyDescent="0.25">
      <c r="B25" s="88">
        <v>20</v>
      </c>
      <c r="C25" s="83" t="s">
        <v>3222</v>
      </c>
      <c r="D25" s="83" t="s">
        <v>3182</v>
      </c>
      <c r="E25" s="83" t="s">
        <v>3187</v>
      </c>
      <c r="F25" s="83" t="s">
        <v>3189</v>
      </c>
      <c r="G25" s="83" t="s">
        <v>3184</v>
      </c>
      <c r="H25" s="83" t="s">
        <v>3190</v>
      </c>
      <c r="I25" s="83" t="s">
        <v>3186</v>
      </c>
      <c r="J25" s="83" t="s">
        <v>3192</v>
      </c>
      <c r="K25" s="89" t="s">
        <v>3191</v>
      </c>
    </row>
    <row r="26" spans="2:11" x14ac:dyDescent="0.25">
      <c r="B26" s="88">
        <v>21</v>
      </c>
      <c r="C26" s="83" t="s">
        <v>3223</v>
      </c>
      <c r="D26" s="83" t="s">
        <v>3182</v>
      </c>
      <c r="E26" s="83" t="s">
        <v>3187</v>
      </c>
      <c r="F26" s="83" t="s">
        <v>3190</v>
      </c>
      <c r="G26" s="83" t="s">
        <v>3184</v>
      </c>
      <c r="H26" s="83" t="s">
        <v>3188</v>
      </c>
      <c r="I26" s="83" t="s">
        <v>3186</v>
      </c>
      <c r="J26" s="83" t="s">
        <v>3192</v>
      </c>
      <c r="K26" s="89" t="s">
        <v>3191</v>
      </c>
    </row>
    <row r="27" spans="2:11" x14ac:dyDescent="0.25">
      <c r="B27" s="88">
        <v>22</v>
      </c>
      <c r="C27" s="83" t="s">
        <v>3224</v>
      </c>
      <c r="D27" s="83" t="s">
        <v>3182</v>
      </c>
      <c r="E27" s="83" t="s">
        <v>3187</v>
      </c>
      <c r="F27" s="83" t="s">
        <v>3189</v>
      </c>
      <c r="G27" s="83" t="s">
        <v>3184</v>
      </c>
      <c r="H27" s="83" t="s">
        <v>3188</v>
      </c>
      <c r="I27" s="83" t="s">
        <v>3186</v>
      </c>
      <c r="J27" s="83" t="s">
        <v>3192</v>
      </c>
      <c r="K27" s="89" t="s">
        <v>3191</v>
      </c>
    </row>
    <row r="28" spans="2:11" x14ac:dyDescent="0.25">
      <c r="B28" s="88">
        <v>23</v>
      </c>
      <c r="C28" s="83" t="s">
        <v>3225</v>
      </c>
      <c r="D28" s="83" t="s">
        <v>3182</v>
      </c>
      <c r="E28" s="83" t="s">
        <v>3187</v>
      </c>
      <c r="F28" s="83" t="s">
        <v>3190</v>
      </c>
      <c r="G28" s="83" t="s">
        <v>3184</v>
      </c>
      <c r="H28" s="83" t="s">
        <v>3188</v>
      </c>
      <c r="I28" s="83" t="s">
        <v>3186</v>
      </c>
      <c r="J28" s="83" t="s">
        <v>3192</v>
      </c>
      <c r="K28" s="89" t="s">
        <v>3189</v>
      </c>
    </row>
    <row r="29" spans="2:11" x14ac:dyDescent="0.25">
      <c r="B29" s="88">
        <v>24</v>
      </c>
      <c r="C29" s="83" t="s">
        <v>3226</v>
      </c>
      <c r="D29" s="83" t="s">
        <v>3182</v>
      </c>
      <c r="E29" s="83" t="s">
        <v>3187</v>
      </c>
      <c r="F29" s="83" t="s">
        <v>3190</v>
      </c>
      <c r="G29" s="83" t="s">
        <v>3184</v>
      </c>
      <c r="H29" s="83" t="s">
        <v>3188</v>
      </c>
      <c r="I29" s="83" t="s">
        <v>3186</v>
      </c>
      <c r="J29" s="83" t="s">
        <v>3189</v>
      </c>
      <c r="K29" s="89" t="s">
        <v>3191</v>
      </c>
    </row>
    <row r="30" spans="2:11" x14ac:dyDescent="0.25">
      <c r="B30" s="88">
        <v>25</v>
      </c>
      <c r="C30" s="83" t="s">
        <v>3227</v>
      </c>
      <c r="D30" s="83" t="s">
        <v>3185</v>
      </c>
      <c r="E30" s="83" t="s">
        <v>3190</v>
      </c>
      <c r="F30" s="83" t="s">
        <v>3189</v>
      </c>
      <c r="G30" s="83" t="s">
        <v>3182</v>
      </c>
      <c r="H30" s="83" t="s">
        <v>3188</v>
      </c>
      <c r="I30" s="83" t="s">
        <v>3184</v>
      </c>
      <c r="J30" s="83" t="s">
        <v>3192</v>
      </c>
      <c r="K30" s="89" t="s">
        <v>3191</v>
      </c>
    </row>
    <row r="31" spans="2:11" x14ac:dyDescent="0.25">
      <c r="B31" s="88">
        <v>26</v>
      </c>
      <c r="C31" s="83" t="s">
        <v>3228</v>
      </c>
      <c r="D31" s="83" t="s">
        <v>3185</v>
      </c>
      <c r="E31" s="83" t="s">
        <v>3187</v>
      </c>
      <c r="F31" s="83" t="s">
        <v>3189</v>
      </c>
      <c r="G31" s="83" t="s">
        <v>3182</v>
      </c>
      <c r="H31" s="83" t="s">
        <v>3190</v>
      </c>
      <c r="I31" s="83" t="s">
        <v>3184</v>
      </c>
      <c r="J31" s="83" t="s">
        <v>3192</v>
      </c>
      <c r="K31" s="89" t="s">
        <v>3191</v>
      </c>
    </row>
    <row r="32" spans="2:11" x14ac:dyDescent="0.25">
      <c r="B32" s="88">
        <v>27</v>
      </c>
      <c r="C32" s="83" t="s">
        <v>3229</v>
      </c>
      <c r="D32" s="83" t="s">
        <v>3185</v>
      </c>
      <c r="E32" s="83" t="s">
        <v>3187</v>
      </c>
      <c r="F32" s="83" t="s">
        <v>3190</v>
      </c>
      <c r="G32" s="83" t="s">
        <v>3182</v>
      </c>
      <c r="H32" s="83" t="s">
        <v>3188</v>
      </c>
      <c r="I32" s="83" t="s">
        <v>3184</v>
      </c>
      <c r="J32" s="83" t="s">
        <v>3192</v>
      </c>
      <c r="K32" s="89" t="s">
        <v>3191</v>
      </c>
    </row>
    <row r="33" spans="2:11" x14ac:dyDescent="0.25">
      <c r="B33" s="88">
        <v>28</v>
      </c>
      <c r="C33" s="83" t="s">
        <v>3230</v>
      </c>
      <c r="D33" s="83" t="s">
        <v>3185</v>
      </c>
      <c r="E33" s="83" t="s">
        <v>3187</v>
      </c>
      <c r="F33" s="83" t="s">
        <v>3189</v>
      </c>
      <c r="G33" s="83" t="s">
        <v>3182</v>
      </c>
      <c r="H33" s="83" t="s">
        <v>3188</v>
      </c>
      <c r="I33" s="83" t="s">
        <v>3184</v>
      </c>
      <c r="J33" s="83" t="s">
        <v>3192</v>
      </c>
      <c r="K33" s="89" t="s">
        <v>3191</v>
      </c>
    </row>
    <row r="34" spans="2:11" x14ac:dyDescent="0.25">
      <c r="B34" s="88">
        <v>29</v>
      </c>
      <c r="C34" s="83" t="s">
        <v>3231</v>
      </c>
      <c r="D34" s="83" t="s">
        <v>3185</v>
      </c>
      <c r="E34" s="83" t="s">
        <v>3187</v>
      </c>
      <c r="F34" s="83" t="s">
        <v>3190</v>
      </c>
      <c r="G34" s="83" t="s">
        <v>3182</v>
      </c>
      <c r="H34" s="83" t="s">
        <v>3188</v>
      </c>
      <c r="I34" s="83" t="s">
        <v>3184</v>
      </c>
      <c r="J34" s="83" t="s">
        <v>3192</v>
      </c>
      <c r="K34" s="89" t="s">
        <v>3189</v>
      </c>
    </row>
    <row r="35" spans="2:11" x14ac:dyDescent="0.25">
      <c r="B35" s="88">
        <v>30</v>
      </c>
      <c r="C35" s="83" t="s">
        <v>3232</v>
      </c>
      <c r="D35" s="83" t="s">
        <v>3185</v>
      </c>
      <c r="E35" s="83" t="s">
        <v>3187</v>
      </c>
      <c r="F35" s="83" t="s">
        <v>3190</v>
      </c>
      <c r="G35" s="83" t="s">
        <v>3182</v>
      </c>
      <c r="H35" s="83" t="s">
        <v>3188</v>
      </c>
      <c r="I35" s="83" t="s">
        <v>3184</v>
      </c>
      <c r="J35" s="83" t="s">
        <v>3189</v>
      </c>
      <c r="K35" s="89" t="s">
        <v>3191</v>
      </c>
    </row>
    <row r="36" spans="2:11" x14ac:dyDescent="0.25">
      <c r="B36" s="88">
        <v>31</v>
      </c>
      <c r="C36" s="83" t="s">
        <v>3233</v>
      </c>
      <c r="D36" s="83" t="s">
        <v>3182</v>
      </c>
      <c r="E36" s="83" t="s">
        <v>3190</v>
      </c>
      <c r="F36" s="83" t="s">
        <v>3185</v>
      </c>
      <c r="G36" s="83" t="s">
        <v>3184</v>
      </c>
      <c r="H36" s="83" t="s">
        <v>3189</v>
      </c>
      <c r="I36" s="83" t="s">
        <v>3186</v>
      </c>
      <c r="J36" s="83" t="s">
        <v>3192</v>
      </c>
      <c r="K36" s="89" t="s">
        <v>3191</v>
      </c>
    </row>
    <row r="37" spans="2:11" x14ac:dyDescent="0.25">
      <c r="B37" s="88">
        <v>32</v>
      </c>
      <c r="C37" s="83" t="s">
        <v>3234</v>
      </c>
      <c r="D37" s="83" t="s">
        <v>3182</v>
      </c>
      <c r="E37" s="83" t="s">
        <v>3190</v>
      </c>
      <c r="F37" s="83" t="s">
        <v>3185</v>
      </c>
      <c r="G37" s="83" t="s">
        <v>3184</v>
      </c>
      <c r="H37" s="83" t="s">
        <v>3188</v>
      </c>
      <c r="I37" s="83" t="s">
        <v>3186</v>
      </c>
      <c r="J37" s="83" t="s">
        <v>3192</v>
      </c>
      <c r="K37" s="89" t="s">
        <v>3191</v>
      </c>
    </row>
    <row r="38" spans="2:11" x14ac:dyDescent="0.25">
      <c r="B38" s="88">
        <v>33</v>
      </c>
      <c r="C38" s="83" t="s">
        <v>3235</v>
      </c>
      <c r="D38" s="83" t="s">
        <v>3182</v>
      </c>
      <c r="E38" s="83" t="s">
        <v>3185</v>
      </c>
      <c r="F38" s="83" t="s">
        <v>3189</v>
      </c>
      <c r="G38" s="83" t="s">
        <v>3184</v>
      </c>
      <c r="H38" s="83" t="s">
        <v>3188</v>
      </c>
      <c r="I38" s="83" t="s">
        <v>3186</v>
      </c>
      <c r="J38" s="83" t="s">
        <v>3192</v>
      </c>
      <c r="K38" s="89" t="s">
        <v>3191</v>
      </c>
    </row>
    <row r="39" spans="2:11" x14ac:dyDescent="0.25">
      <c r="B39" s="88">
        <v>34</v>
      </c>
      <c r="C39" s="83" t="s">
        <v>3236</v>
      </c>
      <c r="D39" s="83" t="s">
        <v>3182</v>
      </c>
      <c r="E39" s="83" t="s">
        <v>3190</v>
      </c>
      <c r="F39" s="83" t="s">
        <v>3185</v>
      </c>
      <c r="G39" s="83" t="s">
        <v>3184</v>
      </c>
      <c r="H39" s="83" t="s">
        <v>3188</v>
      </c>
      <c r="I39" s="83" t="s">
        <v>3186</v>
      </c>
      <c r="J39" s="83" t="s">
        <v>3192</v>
      </c>
      <c r="K39" s="89" t="s">
        <v>3189</v>
      </c>
    </row>
    <row r="40" spans="2:11" x14ac:dyDescent="0.25">
      <c r="B40" s="88">
        <v>35</v>
      </c>
      <c r="C40" s="83" t="s">
        <v>3237</v>
      </c>
      <c r="D40" s="83" t="s">
        <v>3182</v>
      </c>
      <c r="E40" s="83" t="s">
        <v>3190</v>
      </c>
      <c r="F40" s="83" t="s">
        <v>3185</v>
      </c>
      <c r="G40" s="83" t="s">
        <v>3184</v>
      </c>
      <c r="H40" s="83" t="s">
        <v>3188</v>
      </c>
      <c r="I40" s="83" t="s">
        <v>3186</v>
      </c>
      <c r="J40" s="83" t="s">
        <v>3189</v>
      </c>
      <c r="K40" s="89" t="s">
        <v>3191</v>
      </c>
    </row>
    <row r="41" spans="2:11" x14ac:dyDescent="0.25">
      <c r="B41" s="88">
        <v>36</v>
      </c>
      <c r="C41" s="83" t="s">
        <v>3238</v>
      </c>
      <c r="D41" s="83" t="s">
        <v>3182</v>
      </c>
      <c r="E41" s="83" t="s">
        <v>3187</v>
      </c>
      <c r="F41" s="83" t="s">
        <v>3185</v>
      </c>
      <c r="G41" s="83" t="s">
        <v>3184</v>
      </c>
      <c r="H41" s="83" t="s">
        <v>3190</v>
      </c>
      <c r="I41" s="83" t="s">
        <v>3186</v>
      </c>
      <c r="J41" s="83" t="s">
        <v>3192</v>
      </c>
      <c r="K41" s="89" t="s">
        <v>3191</v>
      </c>
    </row>
    <row r="42" spans="2:11" x14ac:dyDescent="0.25">
      <c r="B42" s="88">
        <v>37</v>
      </c>
      <c r="C42" s="83" t="s">
        <v>3239</v>
      </c>
      <c r="D42" s="83" t="s">
        <v>3182</v>
      </c>
      <c r="E42" s="83" t="s">
        <v>3187</v>
      </c>
      <c r="F42" s="83" t="s">
        <v>3185</v>
      </c>
      <c r="G42" s="83" t="s">
        <v>3184</v>
      </c>
      <c r="H42" s="83" t="s">
        <v>3189</v>
      </c>
      <c r="I42" s="83" t="s">
        <v>3186</v>
      </c>
      <c r="J42" s="83" t="s">
        <v>3192</v>
      </c>
      <c r="K42" s="89" t="s">
        <v>3191</v>
      </c>
    </row>
    <row r="43" spans="2:11" x14ac:dyDescent="0.25">
      <c r="B43" s="88">
        <v>38</v>
      </c>
      <c r="C43" s="83" t="s">
        <v>3240</v>
      </c>
      <c r="D43" s="83" t="s">
        <v>3182</v>
      </c>
      <c r="E43" s="83" t="s">
        <v>3187</v>
      </c>
      <c r="F43" s="83" t="s">
        <v>3185</v>
      </c>
      <c r="G43" s="83" t="s">
        <v>3184</v>
      </c>
      <c r="H43" s="83" t="s">
        <v>3190</v>
      </c>
      <c r="I43" s="83" t="s">
        <v>3186</v>
      </c>
      <c r="J43" s="83" t="s">
        <v>3192</v>
      </c>
      <c r="K43" s="89" t="s">
        <v>3189</v>
      </c>
    </row>
    <row r="44" spans="2:11" x14ac:dyDescent="0.25">
      <c r="B44" s="88">
        <v>39</v>
      </c>
      <c r="C44" s="83" t="s">
        <v>3241</v>
      </c>
      <c r="D44" s="83" t="s">
        <v>3182</v>
      </c>
      <c r="E44" s="83" t="s">
        <v>3187</v>
      </c>
      <c r="F44" s="83" t="s">
        <v>3185</v>
      </c>
      <c r="G44" s="83" t="s">
        <v>3184</v>
      </c>
      <c r="H44" s="83" t="s">
        <v>3190</v>
      </c>
      <c r="I44" s="83" t="s">
        <v>3186</v>
      </c>
      <c r="J44" s="83" t="s">
        <v>3189</v>
      </c>
      <c r="K44" s="89" t="s">
        <v>3191</v>
      </c>
    </row>
    <row r="45" spans="2:11" x14ac:dyDescent="0.25">
      <c r="B45" s="88">
        <v>40</v>
      </c>
      <c r="C45" s="83" t="s">
        <v>3242</v>
      </c>
      <c r="D45" s="83" t="s">
        <v>3182</v>
      </c>
      <c r="E45" s="83" t="s">
        <v>3187</v>
      </c>
      <c r="F45" s="83" t="s">
        <v>3185</v>
      </c>
      <c r="G45" s="83" t="s">
        <v>3184</v>
      </c>
      <c r="H45" s="83" t="s">
        <v>3188</v>
      </c>
      <c r="I45" s="83" t="s">
        <v>3186</v>
      </c>
      <c r="J45" s="83" t="s">
        <v>3192</v>
      </c>
      <c r="K45" s="89" t="s">
        <v>3191</v>
      </c>
    </row>
    <row r="46" spans="2:11" x14ac:dyDescent="0.25">
      <c r="B46" s="88">
        <v>41</v>
      </c>
      <c r="C46" s="83" t="s">
        <v>3243</v>
      </c>
      <c r="D46" s="83" t="s">
        <v>3182</v>
      </c>
      <c r="E46" s="83" t="s">
        <v>3187</v>
      </c>
      <c r="F46" s="83" t="s">
        <v>3190</v>
      </c>
      <c r="G46" s="83" t="s">
        <v>3184</v>
      </c>
      <c r="H46" s="83" t="s">
        <v>3188</v>
      </c>
      <c r="I46" s="83" t="s">
        <v>3186</v>
      </c>
      <c r="J46" s="83" t="s">
        <v>3192</v>
      </c>
      <c r="K46" s="89" t="s">
        <v>3185</v>
      </c>
    </row>
    <row r="47" spans="2:11" x14ac:dyDescent="0.25">
      <c r="B47" s="88">
        <v>42</v>
      </c>
      <c r="C47" s="83" t="s">
        <v>3244</v>
      </c>
      <c r="D47" s="83" t="s">
        <v>3182</v>
      </c>
      <c r="E47" s="83" t="s">
        <v>3187</v>
      </c>
      <c r="F47" s="83" t="s">
        <v>3190</v>
      </c>
      <c r="G47" s="83" t="s">
        <v>3184</v>
      </c>
      <c r="H47" s="83" t="s">
        <v>3188</v>
      </c>
      <c r="I47" s="83" t="s">
        <v>3186</v>
      </c>
      <c r="J47" s="83" t="s">
        <v>3185</v>
      </c>
      <c r="K47" s="89" t="s">
        <v>3191</v>
      </c>
    </row>
    <row r="48" spans="2:11" x14ac:dyDescent="0.25">
      <c r="B48" s="88">
        <v>43</v>
      </c>
      <c r="C48" s="83" t="s">
        <v>3245</v>
      </c>
      <c r="D48" s="83" t="s">
        <v>3182</v>
      </c>
      <c r="E48" s="83" t="s">
        <v>3187</v>
      </c>
      <c r="F48" s="83" t="s">
        <v>3185</v>
      </c>
      <c r="G48" s="83" t="s">
        <v>3184</v>
      </c>
      <c r="H48" s="83" t="s">
        <v>3188</v>
      </c>
      <c r="I48" s="83" t="s">
        <v>3186</v>
      </c>
      <c r="J48" s="83" t="s">
        <v>3192</v>
      </c>
      <c r="K48" s="89" t="s">
        <v>3189</v>
      </c>
    </row>
    <row r="49" spans="2:11" x14ac:dyDescent="0.25">
      <c r="B49" s="88">
        <v>44</v>
      </c>
      <c r="C49" s="83" t="s">
        <v>3246</v>
      </c>
      <c r="D49" s="83" t="s">
        <v>3182</v>
      </c>
      <c r="E49" s="83" t="s">
        <v>3187</v>
      </c>
      <c r="F49" s="83" t="s">
        <v>3185</v>
      </c>
      <c r="G49" s="83" t="s">
        <v>3184</v>
      </c>
      <c r="H49" s="83" t="s">
        <v>3188</v>
      </c>
      <c r="I49" s="83" t="s">
        <v>3186</v>
      </c>
      <c r="J49" s="83" t="s">
        <v>3189</v>
      </c>
      <c r="K49" s="89" t="s">
        <v>3191</v>
      </c>
    </row>
    <row r="50" spans="2:11" x14ac:dyDescent="0.25">
      <c r="B50" s="88">
        <v>45</v>
      </c>
      <c r="C50" s="83" t="s">
        <v>3247</v>
      </c>
      <c r="D50" s="83" t="s">
        <v>3182</v>
      </c>
      <c r="E50" s="83" t="s">
        <v>3187</v>
      </c>
      <c r="F50" s="83" t="s">
        <v>3190</v>
      </c>
      <c r="G50" s="83" t="s">
        <v>3184</v>
      </c>
      <c r="H50" s="83" t="s">
        <v>3188</v>
      </c>
      <c r="I50" s="83" t="s">
        <v>3186</v>
      </c>
      <c r="J50" s="83" t="s">
        <v>3185</v>
      </c>
      <c r="K50" s="89" t="s">
        <v>3189</v>
      </c>
    </row>
    <row r="51" spans="2:11" x14ac:dyDescent="0.25">
      <c r="B51" s="88">
        <v>46</v>
      </c>
      <c r="C51" s="83" t="s">
        <v>3248</v>
      </c>
      <c r="D51" s="83" t="s">
        <v>3188</v>
      </c>
      <c r="E51" s="83" t="s">
        <v>3190</v>
      </c>
      <c r="F51" s="83" t="s">
        <v>3181</v>
      </c>
      <c r="G51" s="83" t="s">
        <v>3186</v>
      </c>
      <c r="H51" s="83" t="s">
        <v>3189</v>
      </c>
      <c r="I51" s="83" t="s">
        <v>3187</v>
      </c>
      <c r="J51" s="83" t="s">
        <v>3192</v>
      </c>
      <c r="K51" s="89" t="s">
        <v>3191</v>
      </c>
    </row>
    <row r="52" spans="2:11" x14ac:dyDescent="0.25">
      <c r="B52" s="88">
        <v>47</v>
      </c>
      <c r="C52" s="83" t="s">
        <v>3249</v>
      </c>
      <c r="D52" s="83" t="s">
        <v>3185</v>
      </c>
      <c r="E52" s="83" t="s">
        <v>3190</v>
      </c>
      <c r="F52" s="83" t="s">
        <v>3189</v>
      </c>
      <c r="G52" s="83" t="s">
        <v>3181</v>
      </c>
      <c r="H52" s="83" t="s">
        <v>3188</v>
      </c>
      <c r="I52" s="83" t="s">
        <v>3187</v>
      </c>
      <c r="J52" s="83" t="s">
        <v>3192</v>
      </c>
      <c r="K52" s="89" t="s">
        <v>3191</v>
      </c>
    </row>
    <row r="53" spans="2:11" x14ac:dyDescent="0.25">
      <c r="B53" s="88">
        <v>48</v>
      </c>
      <c r="C53" s="83" t="s">
        <v>3250</v>
      </c>
      <c r="D53" s="83" t="s">
        <v>3185</v>
      </c>
      <c r="E53" s="83" t="s">
        <v>3190</v>
      </c>
      <c r="F53" s="83" t="s">
        <v>3181</v>
      </c>
      <c r="G53" s="83" t="s">
        <v>3186</v>
      </c>
      <c r="H53" s="83" t="s">
        <v>3189</v>
      </c>
      <c r="I53" s="83" t="s">
        <v>3188</v>
      </c>
      <c r="J53" s="83" t="s">
        <v>3192</v>
      </c>
      <c r="K53" s="89" t="s">
        <v>3191</v>
      </c>
    </row>
    <row r="54" spans="2:11" x14ac:dyDescent="0.25">
      <c r="B54" s="88">
        <v>49</v>
      </c>
      <c r="C54" s="83" t="s">
        <v>3251</v>
      </c>
      <c r="D54" s="83" t="s">
        <v>3185</v>
      </c>
      <c r="E54" s="83" t="s">
        <v>3190</v>
      </c>
      <c r="F54" s="83" t="s">
        <v>3181</v>
      </c>
      <c r="G54" s="83" t="s">
        <v>3186</v>
      </c>
      <c r="H54" s="83" t="s">
        <v>3189</v>
      </c>
      <c r="I54" s="83" t="s">
        <v>3187</v>
      </c>
      <c r="J54" s="83" t="s">
        <v>3192</v>
      </c>
      <c r="K54" s="89" t="s">
        <v>3191</v>
      </c>
    </row>
    <row r="55" spans="2:11" x14ac:dyDescent="0.25">
      <c r="B55" s="88">
        <v>50</v>
      </c>
      <c r="C55" s="83" t="s">
        <v>3252</v>
      </c>
      <c r="D55" s="83" t="s">
        <v>3185</v>
      </c>
      <c r="E55" s="83" t="s">
        <v>3190</v>
      </c>
      <c r="F55" s="83" t="s">
        <v>3181</v>
      </c>
      <c r="G55" s="83" t="s">
        <v>3186</v>
      </c>
      <c r="H55" s="83" t="s">
        <v>3188</v>
      </c>
      <c r="I55" s="83" t="s">
        <v>3187</v>
      </c>
      <c r="J55" s="83" t="s">
        <v>3192</v>
      </c>
      <c r="K55" s="89" t="s">
        <v>3191</v>
      </c>
    </row>
    <row r="56" spans="2:11" x14ac:dyDescent="0.25">
      <c r="B56" s="88">
        <v>51</v>
      </c>
      <c r="C56" s="83" t="s">
        <v>3253</v>
      </c>
      <c r="D56" s="83" t="s">
        <v>3185</v>
      </c>
      <c r="E56" s="83" t="s">
        <v>3187</v>
      </c>
      <c r="F56" s="83" t="s">
        <v>3181</v>
      </c>
      <c r="G56" s="83" t="s">
        <v>3186</v>
      </c>
      <c r="H56" s="83" t="s">
        <v>3189</v>
      </c>
      <c r="I56" s="83" t="s">
        <v>3188</v>
      </c>
      <c r="J56" s="83" t="s">
        <v>3192</v>
      </c>
      <c r="K56" s="89" t="s">
        <v>3191</v>
      </c>
    </row>
    <row r="57" spans="2:11" x14ac:dyDescent="0.25">
      <c r="B57" s="88">
        <v>52</v>
      </c>
      <c r="C57" s="83" t="s">
        <v>3254</v>
      </c>
      <c r="D57" s="83" t="s">
        <v>3185</v>
      </c>
      <c r="E57" s="83" t="s">
        <v>3190</v>
      </c>
      <c r="F57" s="83" t="s">
        <v>3181</v>
      </c>
      <c r="G57" s="83" t="s">
        <v>3186</v>
      </c>
      <c r="H57" s="83" t="s">
        <v>3188</v>
      </c>
      <c r="I57" s="83" t="s">
        <v>3187</v>
      </c>
      <c r="J57" s="83" t="s">
        <v>3192</v>
      </c>
      <c r="K57" s="89" t="s">
        <v>3189</v>
      </c>
    </row>
    <row r="58" spans="2:11" x14ac:dyDescent="0.25">
      <c r="B58" s="88">
        <v>53</v>
      </c>
      <c r="C58" s="83" t="s">
        <v>3255</v>
      </c>
      <c r="D58" s="83" t="s">
        <v>3185</v>
      </c>
      <c r="E58" s="83" t="s">
        <v>3190</v>
      </c>
      <c r="F58" s="83" t="s">
        <v>3181</v>
      </c>
      <c r="G58" s="83" t="s">
        <v>3186</v>
      </c>
      <c r="H58" s="83" t="s">
        <v>3188</v>
      </c>
      <c r="I58" s="83" t="s">
        <v>3187</v>
      </c>
      <c r="J58" s="83" t="s">
        <v>3189</v>
      </c>
      <c r="K58" s="89" t="s">
        <v>3191</v>
      </c>
    </row>
    <row r="59" spans="2:11" x14ac:dyDescent="0.25">
      <c r="B59" s="88">
        <v>54</v>
      </c>
      <c r="C59" s="83" t="s">
        <v>3256</v>
      </c>
      <c r="D59" s="83" t="s">
        <v>3188</v>
      </c>
      <c r="E59" s="83" t="s">
        <v>3190</v>
      </c>
      <c r="F59" s="83" t="s">
        <v>3181</v>
      </c>
      <c r="G59" s="83" t="s">
        <v>3184</v>
      </c>
      <c r="H59" s="83" t="s">
        <v>3189</v>
      </c>
      <c r="I59" s="83" t="s">
        <v>3187</v>
      </c>
      <c r="J59" s="83" t="s">
        <v>3192</v>
      </c>
      <c r="K59" s="89" t="s">
        <v>3191</v>
      </c>
    </row>
    <row r="60" spans="2:11" x14ac:dyDescent="0.25">
      <c r="B60" s="88">
        <v>55</v>
      </c>
      <c r="C60" s="83" t="s">
        <v>3257</v>
      </c>
      <c r="D60" s="83" t="s">
        <v>3188</v>
      </c>
      <c r="E60" s="83" t="s">
        <v>3190</v>
      </c>
      <c r="F60" s="83" t="s">
        <v>3181</v>
      </c>
      <c r="G60" s="83" t="s">
        <v>3184</v>
      </c>
      <c r="H60" s="83" t="s">
        <v>3189</v>
      </c>
      <c r="I60" s="83" t="s">
        <v>3186</v>
      </c>
      <c r="J60" s="83" t="s">
        <v>3192</v>
      </c>
      <c r="K60" s="89" t="s">
        <v>3191</v>
      </c>
    </row>
    <row r="61" spans="2:11" x14ac:dyDescent="0.25">
      <c r="B61" s="88">
        <v>56</v>
      </c>
      <c r="C61" s="83" t="s">
        <v>3258</v>
      </c>
      <c r="D61" s="83" t="s">
        <v>3189</v>
      </c>
      <c r="E61" s="83" t="s">
        <v>3187</v>
      </c>
      <c r="F61" s="83" t="s">
        <v>3181</v>
      </c>
      <c r="G61" s="83" t="s">
        <v>3184</v>
      </c>
      <c r="H61" s="83" t="s">
        <v>3190</v>
      </c>
      <c r="I61" s="83" t="s">
        <v>3186</v>
      </c>
      <c r="J61" s="83" t="s">
        <v>3192</v>
      </c>
      <c r="K61" s="89" t="s">
        <v>3191</v>
      </c>
    </row>
    <row r="62" spans="2:11" x14ac:dyDescent="0.25">
      <c r="B62" s="88">
        <v>57</v>
      </c>
      <c r="C62" s="83" t="s">
        <v>3259</v>
      </c>
      <c r="D62" s="83" t="s">
        <v>3188</v>
      </c>
      <c r="E62" s="83" t="s">
        <v>3187</v>
      </c>
      <c r="F62" s="83" t="s">
        <v>3181</v>
      </c>
      <c r="G62" s="83" t="s">
        <v>3184</v>
      </c>
      <c r="H62" s="83" t="s">
        <v>3190</v>
      </c>
      <c r="I62" s="83" t="s">
        <v>3186</v>
      </c>
      <c r="J62" s="83" t="s">
        <v>3192</v>
      </c>
      <c r="K62" s="89" t="s">
        <v>3191</v>
      </c>
    </row>
    <row r="63" spans="2:11" x14ac:dyDescent="0.25">
      <c r="B63" s="88">
        <v>58</v>
      </c>
      <c r="C63" s="83" t="s">
        <v>3260</v>
      </c>
      <c r="D63" s="83" t="s">
        <v>3188</v>
      </c>
      <c r="E63" s="83" t="s">
        <v>3187</v>
      </c>
      <c r="F63" s="83" t="s">
        <v>3181</v>
      </c>
      <c r="G63" s="83" t="s">
        <v>3184</v>
      </c>
      <c r="H63" s="83" t="s">
        <v>3189</v>
      </c>
      <c r="I63" s="83" t="s">
        <v>3186</v>
      </c>
      <c r="J63" s="83" t="s">
        <v>3192</v>
      </c>
      <c r="K63" s="89" t="s">
        <v>3191</v>
      </c>
    </row>
    <row r="64" spans="2:11" x14ac:dyDescent="0.25">
      <c r="B64" s="88">
        <v>59</v>
      </c>
      <c r="C64" s="83" t="s">
        <v>3261</v>
      </c>
      <c r="D64" s="83" t="s">
        <v>3188</v>
      </c>
      <c r="E64" s="83" t="s">
        <v>3187</v>
      </c>
      <c r="F64" s="83" t="s">
        <v>3181</v>
      </c>
      <c r="G64" s="83" t="s">
        <v>3184</v>
      </c>
      <c r="H64" s="83" t="s">
        <v>3190</v>
      </c>
      <c r="I64" s="83" t="s">
        <v>3186</v>
      </c>
      <c r="J64" s="83" t="s">
        <v>3192</v>
      </c>
      <c r="K64" s="89" t="s">
        <v>3189</v>
      </c>
    </row>
    <row r="65" spans="2:11" x14ac:dyDescent="0.25">
      <c r="B65" s="88">
        <v>60</v>
      </c>
      <c r="C65" s="83" t="s">
        <v>3262</v>
      </c>
      <c r="D65" s="83" t="s">
        <v>3188</v>
      </c>
      <c r="E65" s="83" t="s">
        <v>3187</v>
      </c>
      <c r="F65" s="83" t="s">
        <v>3181</v>
      </c>
      <c r="G65" s="83" t="s">
        <v>3184</v>
      </c>
      <c r="H65" s="83" t="s">
        <v>3190</v>
      </c>
      <c r="I65" s="83" t="s">
        <v>3186</v>
      </c>
      <c r="J65" s="83" t="s">
        <v>3189</v>
      </c>
      <c r="K65" s="89" t="s">
        <v>3191</v>
      </c>
    </row>
    <row r="66" spans="2:11" x14ac:dyDescent="0.25">
      <c r="B66" s="88">
        <v>61</v>
      </c>
      <c r="C66" s="83" t="s">
        <v>3263</v>
      </c>
      <c r="D66" s="83" t="s">
        <v>3185</v>
      </c>
      <c r="E66" s="83" t="s">
        <v>3190</v>
      </c>
      <c r="F66" s="83" t="s">
        <v>3181</v>
      </c>
      <c r="G66" s="83" t="s">
        <v>3184</v>
      </c>
      <c r="H66" s="83" t="s">
        <v>3189</v>
      </c>
      <c r="I66" s="83" t="s">
        <v>3188</v>
      </c>
      <c r="J66" s="83" t="s">
        <v>3192</v>
      </c>
      <c r="K66" s="89" t="s">
        <v>3191</v>
      </c>
    </row>
    <row r="67" spans="2:11" x14ac:dyDescent="0.25">
      <c r="B67" s="88">
        <v>62</v>
      </c>
      <c r="C67" s="83" t="s">
        <v>3264</v>
      </c>
      <c r="D67" s="83" t="s">
        <v>3185</v>
      </c>
      <c r="E67" s="83" t="s">
        <v>3190</v>
      </c>
      <c r="F67" s="83" t="s">
        <v>3181</v>
      </c>
      <c r="G67" s="83" t="s">
        <v>3184</v>
      </c>
      <c r="H67" s="83" t="s">
        <v>3189</v>
      </c>
      <c r="I67" s="83" t="s">
        <v>3187</v>
      </c>
      <c r="J67" s="83" t="s">
        <v>3192</v>
      </c>
      <c r="K67" s="89" t="s">
        <v>3191</v>
      </c>
    </row>
    <row r="68" spans="2:11" x14ac:dyDescent="0.25">
      <c r="B68" s="88">
        <v>63</v>
      </c>
      <c r="C68" s="83" t="s">
        <v>3265</v>
      </c>
      <c r="D68" s="83" t="s">
        <v>3185</v>
      </c>
      <c r="E68" s="83" t="s">
        <v>3190</v>
      </c>
      <c r="F68" s="83" t="s">
        <v>3181</v>
      </c>
      <c r="G68" s="83" t="s">
        <v>3184</v>
      </c>
      <c r="H68" s="83" t="s">
        <v>3188</v>
      </c>
      <c r="I68" s="83" t="s">
        <v>3187</v>
      </c>
      <c r="J68" s="83" t="s">
        <v>3192</v>
      </c>
      <c r="K68" s="89" t="s">
        <v>3191</v>
      </c>
    </row>
    <row r="69" spans="2:11" x14ac:dyDescent="0.25">
      <c r="B69" s="88">
        <v>64</v>
      </c>
      <c r="C69" s="83" t="s">
        <v>3266</v>
      </c>
      <c r="D69" s="83" t="s">
        <v>3185</v>
      </c>
      <c r="E69" s="83" t="s">
        <v>3187</v>
      </c>
      <c r="F69" s="83" t="s">
        <v>3181</v>
      </c>
      <c r="G69" s="83" t="s">
        <v>3184</v>
      </c>
      <c r="H69" s="83" t="s">
        <v>3189</v>
      </c>
      <c r="I69" s="83" t="s">
        <v>3188</v>
      </c>
      <c r="J69" s="83" t="s">
        <v>3192</v>
      </c>
      <c r="K69" s="89" t="s">
        <v>3191</v>
      </c>
    </row>
    <row r="70" spans="2:11" x14ac:dyDescent="0.25">
      <c r="B70" s="88">
        <v>65</v>
      </c>
      <c r="C70" s="83" t="s">
        <v>3267</v>
      </c>
      <c r="D70" s="83" t="s">
        <v>3185</v>
      </c>
      <c r="E70" s="83" t="s">
        <v>3190</v>
      </c>
      <c r="F70" s="83" t="s">
        <v>3181</v>
      </c>
      <c r="G70" s="83" t="s">
        <v>3184</v>
      </c>
      <c r="H70" s="83" t="s">
        <v>3188</v>
      </c>
      <c r="I70" s="83" t="s">
        <v>3187</v>
      </c>
      <c r="J70" s="83" t="s">
        <v>3192</v>
      </c>
      <c r="K70" s="89" t="s">
        <v>3189</v>
      </c>
    </row>
    <row r="71" spans="2:11" x14ac:dyDescent="0.25">
      <c r="B71" s="88">
        <v>66</v>
      </c>
      <c r="C71" s="83" t="s">
        <v>3268</v>
      </c>
      <c r="D71" s="83" t="s">
        <v>3185</v>
      </c>
      <c r="E71" s="83" t="s">
        <v>3190</v>
      </c>
      <c r="F71" s="83" t="s">
        <v>3181</v>
      </c>
      <c r="G71" s="83" t="s">
        <v>3184</v>
      </c>
      <c r="H71" s="83" t="s">
        <v>3188</v>
      </c>
      <c r="I71" s="83" t="s">
        <v>3187</v>
      </c>
      <c r="J71" s="83" t="s">
        <v>3189</v>
      </c>
      <c r="K71" s="89" t="s">
        <v>3191</v>
      </c>
    </row>
    <row r="72" spans="2:11" x14ac:dyDescent="0.25">
      <c r="B72" s="88">
        <v>67</v>
      </c>
      <c r="C72" s="83" t="s">
        <v>3269</v>
      </c>
      <c r="D72" s="83" t="s">
        <v>3185</v>
      </c>
      <c r="E72" s="83" t="s">
        <v>3190</v>
      </c>
      <c r="F72" s="83" t="s">
        <v>3181</v>
      </c>
      <c r="G72" s="83" t="s">
        <v>3184</v>
      </c>
      <c r="H72" s="83" t="s">
        <v>3189</v>
      </c>
      <c r="I72" s="83" t="s">
        <v>3186</v>
      </c>
      <c r="J72" s="83" t="s">
        <v>3192</v>
      </c>
      <c r="K72" s="89" t="s">
        <v>3191</v>
      </c>
    </row>
    <row r="73" spans="2:11" x14ac:dyDescent="0.25">
      <c r="B73" s="88">
        <v>68</v>
      </c>
      <c r="C73" s="83" t="s">
        <v>3270</v>
      </c>
      <c r="D73" s="83" t="s">
        <v>3185</v>
      </c>
      <c r="E73" s="83" t="s">
        <v>3190</v>
      </c>
      <c r="F73" s="83" t="s">
        <v>3181</v>
      </c>
      <c r="G73" s="83" t="s">
        <v>3184</v>
      </c>
      <c r="H73" s="83" t="s">
        <v>3188</v>
      </c>
      <c r="I73" s="83" t="s">
        <v>3186</v>
      </c>
      <c r="J73" s="83" t="s">
        <v>3192</v>
      </c>
      <c r="K73" s="89" t="s">
        <v>3191</v>
      </c>
    </row>
    <row r="74" spans="2:11" x14ac:dyDescent="0.25">
      <c r="B74" s="88">
        <v>69</v>
      </c>
      <c r="C74" s="83" t="s">
        <v>3271</v>
      </c>
      <c r="D74" s="83" t="s">
        <v>3185</v>
      </c>
      <c r="E74" s="83" t="s">
        <v>3189</v>
      </c>
      <c r="F74" s="83" t="s">
        <v>3181</v>
      </c>
      <c r="G74" s="83" t="s">
        <v>3184</v>
      </c>
      <c r="H74" s="83" t="s">
        <v>3188</v>
      </c>
      <c r="I74" s="83" t="s">
        <v>3186</v>
      </c>
      <c r="J74" s="83" t="s">
        <v>3192</v>
      </c>
      <c r="K74" s="89" t="s">
        <v>3191</v>
      </c>
    </row>
    <row r="75" spans="2:11" x14ac:dyDescent="0.25">
      <c r="B75" s="88">
        <v>70</v>
      </c>
      <c r="C75" s="83" t="s">
        <v>3272</v>
      </c>
      <c r="D75" s="83" t="s">
        <v>3185</v>
      </c>
      <c r="E75" s="83" t="s">
        <v>3190</v>
      </c>
      <c r="F75" s="83" t="s">
        <v>3181</v>
      </c>
      <c r="G75" s="83" t="s">
        <v>3184</v>
      </c>
      <c r="H75" s="83" t="s">
        <v>3188</v>
      </c>
      <c r="I75" s="83" t="s">
        <v>3186</v>
      </c>
      <c r="J75" s="83" t="s">
        <v>3192</v>
      </c>
      <c r="K75" s="89" t="s">
        <v>3189</v>
      </c>
    </row>
    <row r="76" spans="2:11" x14ac:dyDescent="0.25">
      <c r="B76" s="88">
        <v>71</v>
      </c>
      <c r="C76" s="83" t="s">
        <v>3273</v>
      </c>
      <c r="D76" s="83" t="s">
        <v>3185</v>
      </c>
      <c r="E76" s="83" t="s">
        <v>3190</v>
      </c>
      <c r="F76" s="83" t="s">
        <v>3181</v>
      </c>
      <c r="G76" s="83" t="s">
        <v>3184</v>
      </c>
      <c r="H76" s="83" t="s">
        <v>3188</v>
      </c>
      <c r="I76" s="83" t="s">
        <v>3186</v>
      </c>
      <c r="J76" s="83" t="s">
        <v>3189</v>
      </c>
      <c r="K76" s="89" t="s">
        <v>3191</v>
      </c>
    </row>
    <row r="77" spans="2:11" x14ac:dyDescent="0.25">
      <c r="B77" s="88">
        <v>72</v>
      </c>
      <c r="C77" s="83" t="s">
        <v>3274</v>
      </c>
      <c r="D77" s="83" t="s">
        <v>3185</v>
      </c>
      <c r="E77" s="83" t="s">
        <v>3187</v>
      </c>
      <c r="F77" s="83" t="s">
        <v>3181</v>
      </c>
      <c r="G77" s="83" t="s">
        <v>3184</v>
      </c>
      <c r="H77" s="83" t="s">
        <v>3190</v>
      </c>
      <c r="I77" s="83" t="s">
        <v>3186</v>
      </c>
      <c r="J77" s="83" t="s">
        <v>3192</v>
      </c>
      <c r="K77" s="89" t="s">
        <v>3191</v>
      </c>
    </row>
    <row r="78" spans="2:11" x14ac:dyDescent="0.25">
      <c r="B78" s="88">
        <v>73</v>
      </c>
      <c r="C78" s="83" t="s">
        <v>3275</v>
      </c>
      <c r="D78" s="83" t="s">
        <v>3185</v>
      </c>
      <c r="E78" s="83" t="s">
        <v>3187</v>
      </c>
      <c r="F78" s="83" t="s">
        <v>3181</v>
      </c>
      <c r="G78" s="83" t="s">
        <v>3184</v>
      </c>
      <c r="H78" s="83" t="s">
        <v>3189</v>
      </c>
      <c r="I78" s="83" t="s">
        <v>3186</v>
      </c>
      <c r="J78" s="83" t="s">
        <v>3192</v>
      </c>
      <c r="K78" s="89" t="s">
        <v>3191</v>
      </c>
    </row>
    <row r="79" spans="2:11" x14ac:dyDescent="0.25">
      <c r="B79" s="88">
        <v>74</v>
      </c>
      <c r="C79" s="83" t="s">
        <v>3276</v>
      </c>
      <c r="D79" s="83" t="s">
        <v>3185</v>
      </c>
      <c r="E79" s="83" t="s">
        <v>3187</v>
      </c>
      <c r="F79" s="83" t="s">
        <v>3181</v>
      </c>
      <c r="G79" s="83" t="s">
        <v>3184</v>
      </c>
      <c r="H79" s="83" t="s">
        <v>3190</v>
      </c>
      <c r="I79" s="83" t="s">
        <v>3186</v>
      </c>
      <c r="J79" s="83" t="s">
        <v>3192</v>
      </c>
      <c r="K79" s="89" t="s">
        <v>3189</v>
      </c>
    </row>
    <row r="80" spans="2:11" x14ac:dyDescent="0.25">
      <c r="B80" s="88">
        <v>75</v>
      </c>
      <c r="C80" s="83" t="s">
        <v>3277</v>
      </c>
      <c r="D80" s="83" t="s">
        <v>3185</v>
      </c>
      <c r="E80" s="83" t="s">
        <v>3187</v>
      </c>
      <c r="F80" s="83" t="s">
        <v>3181</v>
      </c>
      <c r="G80" s="83" t="s">
        <v>3184</v>
      </c>
      <c r="H80" s="83" t="s">
        <v>3190</v>
      </c>
      <c r="I80" s="83" t="s">
        <v>3186</v>
      </c>
      <c r="J80" s="83" t="s">
        <v>3189</v>
      </c>
      <c r="K80" s="89" t="s">
        <v>3191</v>
      </c>
    </row>
    <row r="81" spans="2:11" x14ac:dyDescent="0.25">
      <c r="B81" s="88">
        <v>76</v>
      </c>
      <c r="C81" s="83" t="s">
        <v>3278</v>
      </c>
      <c r="D81" s="83" t="s">
        <v>3185</v>
      </c>
      <c r="E81" s="83" t="s">
        <v>3187</v>
      </c>
      <c r="F81" s="83" t="s">
        <v>3181</v>
      </c>
      <c r="G81" s="83" t="s">
        <v>3184</v>
      </c>
      <c r="H81" s="83" t="s">
        <v>3188</v>
      </c>
      <c r="I81" s="83" t="s">
        <v>3186</v>
      </c>
      <c r="J81" s="83" t="s">
        <v>3192</v>
      </c>
      <c r="K81" s="89" t="s">
        <v>3191</v>
      </c>
    </row>
    <row r="82" spans="2:11" x14ac:dyDescent="0.25">
      <c r="B82" s="88">
        <v>77</v>
      </c>
      <c r="C82" s="83" t="s">
        <v>3279</v>
      </c>
      <c r="D82" s="83" t="s">
        <v>3188</v>
      </c>
      <c r="E82" s="83" t="s">
        <v>3187</v>
      </c>
      <c r="F82" s="83" t="s">
        <v>3181</v>
      </c>
      <c r="G82" s="83" t="s">
        <v>3184</v>
      </c>
      <c r="H82" s="83" t="s">
        <v>3190</v>
      </c>
      <c r="I82" s="83" t="s">
        <v>3186</v>
      </c>
      <c r="J82" s="83" t="s">
        <v>3192</v>
      </c>
      <c r="K82" s="89" t="s">
        <v>3185</v>
      </c>
    </row>
    <row r="83" spans="2:11" x14ac:dyDescent="0.25">
      <c r="B83" s="88">
        <v>78</v>
      </c>
      <c r="C83" s="83" t="s">
        <v>3280</v>
      </c>
      <c r="D83" s="83" t="s">
        <v>3188</v>
      </c>
      <c r="E83" s="83" t="s">
        <v>3187</v>
      </c>
      <c r="F83" s="83" t="s">
        <v>3181</v>
      </c>
      <c r="G83" s="83" t="s">
        <v>3184</v>
      </c>
      <c r="H83" s="83" t="s">
        <v>3190</v>
      </c>
      <c r="I83" s="83" t="s">
        <v>3186</v>
      </c>
      <c r="J83" s="83" t="s">
        <v>3185</v>
      </c>
      <c r="K83" s="89" t="s">
        <v>3191</v>
      </c>
    </row>
    <row r="84" spans="2:11" x14ac:dyDescent="0.25">
      <c r="B84" s="88">
        <v>79</v>
      </c>
      <c r="C84" s="83" t="s">
        <v>3281</v>
      </c>
      <c r="D84" s="83" t="s">
        <v>3185</v>
      </c>
      <c r="E84" s="83" t="s">
        <v>3187</v>
      </c>
      <c r="F84" s="83" t="s">
        <v>3181</v>
      </c>
      <c r="G84" s="83" t="s">
        <v>3184</v>
      </c>
      <c r="H84" s="83" t="s">
        <v>3188</v>
      </c>
      <c r="I84" s="83" t="s">
        <v>3186</v>
      </c>
      <c r="J84" s="83" t="s">
        <v>3192</v>
      </c>
      <c r="K84" s="89" t="s">
        <v>3189</v>
      </c>
    </row>
    <row r="85" spans="2:11" x14ac:dyDescent="0.25">
      <c r="B85" s="88">
        <v>80</v>
      </c>
      <c r="C85" s="83" t="s">
        <v>3282</v>
      </c>
      <c r="D85" s="83" t="s">
        <v>3185</v>
      </c>
      <c r="E85" s="83" t="s">
        <v>3187</v>
      </c>
      <c r="F85" s="83" t="s">
        <v>3181</v>
      </c>
      <c r="G85" s="83" t="s">
        <v>3184</v>
      </c>
      <c r="H85" s="83" t="s">
        <v>3188</v>
      </c>
      <c r="I85" s="83" t="s">
        <v>3186</v>
      </c>
      <c r="J85" s="83" t="s">
        <v>3189</v>
      </c>
      <c r="K85" s="89" t="s">
        <v>3191</v>
      </c>
    </row>
    <row r="86" spans="2:11" x14ac:dyDescent="0.25">
      <c r="B86" s="88">
        <v>81</v>
      </c>
      <c r="C86" s="83" t="s">
        <v>3283</v>
      </c>
      <c r="D86" s="83" t="s">
        <v>3188</v>
      </c>
      <c r="E86" s="83" t="s">
        <v>3187</v>
      </c>
      <c r="F86" s="83" t="s">
        <v>3181</v>
      </c>
      <c r="G86" s="83" t="s">
        <v>3184</v>
      </c>
      <c r="H86" s="83" t="s">
        <v>3190</v>
      </c>
      <c r="I86" s="83" t="s">
        <v>3186</v>
      </c>
      <c r="J86" s="83" t="s">
        <v>3185</v>
      </c>
      <c r="K86" s="89" t="s">
        <v>3189</v>
      </c>
    </row>
    <row r="87" spans="2:11" x14ac:dyDescent="0.25">
      <c r="B87" s="88">
        <v>82</v>
      </c>
      <c r="C87" s="83" t="s">
        <v>3284</v>
      </c>
      <c r="D87" s="83" t="s">
        <v>3188</v>
      </c>
      <c r="E87" s="83" t="s">
        <v>3190</v>
      </c>
      <c r="F87" s="83" t="s">
        <v>3181</v>
      </c>
      <c r="G87" s="83" t="s">
        <v>3182</v>
      </c>
      <c r="H87" s="83" t="s">
        <v>3189</v>
      </c>
      <c r="I87" s="83" t="s">
        <v>3187</v>
      </c>
      <c r="J87" s="83" t="s">
        <v>3192</v>
      </c>
      <c r="K87" s="89" t="s">
        <v>3191</v>
      </c>
    </row>
    <row r="88" spans="2:11" x14ac:dyDescent="0.25">
      <c r="B88" s="88">
        <v>83</v>
      </c>
      <c r="C88" s="83" t="s">
        <v>3285</v>
      </c>
      <c r="D88" s="83" t="s">
        <v>3188</v>
      </c>
      <c r="E88" s="83" t="s">
        <v>3190</v>
      </c>
      <c r="F88" s="83" t="s">
        <v>3181</v>
      </c>
      <c r="G88" s="83" t="s">
        <v>3182</v>
      </c>
      <c r="H88" s="83" t="s">
        <v>3189</v>
      </c>
      <c r="I88" s="83" t="s">
        <v>3186</v>
      </c>
      <c r="J88" s="83" t="s">
        <v>3192</v>
      </c>
      <c r="K88" s="89" t="s">
        <v>3191</v>
      </c>
    </row>
    <row r="89" spans="2:11" x14ac:dyDescent="0.25">
      <c r="B89" s="88">
        <v>84</v>
      </c>
      <c r="C89" s="83" t="s">
        <v>3286</v>
      </c>
      <c r="D89" s="83" t="s">
        <v>3189</v>
      </c>
      <c r="E89" s="83" t="s">
        <v>3187</v>
      </c>
      <c r="F89" s="83" t="s">
        <v>3181</v>
      </c>
      <c r="G89" s="83" t="s">
        <v>3182</v>
      </c>
      <c r="H89" s="83" t="s">
        <v>3190</v>
      </c>
      <c r="I89" s="83" t="s">
        <v>3186</v>
      </c>
      <c r="J89" s="83" t="s">
        <v>3192</v>
      </c>
      <c r="K89" s="89" t="s">
        <v>3191</v>
      </c>
    </row>
    <row r="90" spans="2:11" x14ac:dyDescent="0.25">
      <c r="B90" s="88">
        <v>85</v>
      </c>
      <c r="C90" s="83" t="s">
        <v>3287</v>
      </c>
      <c r="D90" s="83" t="s">
        <v>3188</v>
      </c>
      <c r="E90" s="83" t="s">
        <v>3187</v>
      </c>
      <c r="F90" s="83" t="s">
        <v>3181</v>
      </c>
      <c r="G90" s="83" t="s">
        <v>3182</v>
      </c>
      <c r="H90" s="83" t="s">
        <v>3190</v>
      </c>
      <c r="I90" s="83" t="s">
        <v>3186</v>
      </c>
      <c r="J90" s="83" t="s">
        <v>3192</v>
      </c>
      <c r="K90" s="89" t="s">
        <v>3191</v>
      </c>
    </row>
    <row r="91" spans="2:11" x14ac:dyDescent="0.25">
      <c r="B91" s="88">
        <v>86</v>
      </c>
      <c r="C91" s="83" t="s">
        <v>3288</v>
      </c>
      <c r="D91" s="83" t="s">
        <v>3188</v>
      </c>
      <c r="E91" s="83" t="s">
        <v>3187</v>
      </c>
      <c r="F91" s="83" t="s">
        <v>3181</v>
      </c>
      <c r="G91" s="83" t="s">
        <v>3182</v>
      </c>
      <c r="H91" s="83" t="s">
        <v>3189</v>
      </c>
      <c r="I91" s="83" t="s">
        <v>3186</v>
      </c>
      <c r="J91" s="83" t="s">
        <v>3192</v>
      </c>
      <c r="K91" s="89" t="s">
        <v>3191</v>
      </c>
    </row>
    <row r="92" spans="2:11" x14ac:dyDescent="0.25">
      <c r="B92" s="88">
        <v>87</v>
      </c>
      <c r="C92" s="83" t="s">
        <v>3289</v>
      </c>
      <c r="D92" s="83" t="s">
        <v>3188</v>
      </c>
      <c r="E92" s="83" t="s">
        <v>3187</v>
      </c>
      <c r="F92" s="83" t="s">
        <v>3181</v>
      </c>
      <c r="G92" s="83" t="s">
        <v>3182</v>
      </c>
      <c r="H92" s="83" t="s">
        <v>3190</v>
      </c>
      <c r="I92" s="83" t="s">
        <v>3186</v>
      </c>
      <c r="J92" s="83" t="s">
        <v>3192</v>
      </c>
      <c r="K92" s="89" t="s">
        <v>3189</v>
      </c>
    </row>
    <row r="93" spans="2:11" x14ac:dyDescent="0.25">
      <c r="B93" s="88">
        <v>88</v>
      </c>
      <c r="C93" s="83" t="s">
        <v>3290</v>
      </c>
      <c r="D93" s="83" t="s">
        <v>3188</v>
      </c>
      <c r="E93" s="83" t="s">
        <v>3187</v>
      </c>
      <c r="F93" s="83" t="s">
        <v>3181</v>
      </c>
      <c r="G93" s="83" t="s">
        <v>3182</v>
      </c>
      <c r="H93" s="83" t="s">
        <v>3190</v>
      </c>
      <c r="I93" s="83" t="s">
        <v>3186</v>
      </c>
      <c r="J93" s="83" t="s">
        <v>3189</v>
      </c>
      <c r="K93" s="89" t="s">
        <v>3191</v>
      </c>
    </row>
    <row r="94" spans="2:11" x14ac:dyDescent="0.25">
      <c r="B94" s="88">
        <v>89</v>
      </c>
      <c r="C94" s="83" t="s">
        <v>3291</v>
      </c>
      <c r="D94" s="83" t="s">
        <v>3185</v>
      </c>
      <c r="E94" s="83" t="s">
        <v>3190</v>
      </c>
      <c r="F94" s="83" t="s">
        <v>3181</v>
      </c>
      <c r="G94" s="83" t="s">
        <v>3182</v>
      </c>
      <c r="H94" s="83" t="s">
        <v>3189</v>
      </c>
      <c r="I94" s="83" t="s">
        <v>3188</v>
      </c>
      <c r="J94" s="83" t="s">
        <v>3192</v>
      </c>
      <c r="K94" s="89" t="s">
        <v>3191</v>
      </c>
    </row>
    <row r="95" spans="2:11" x14ac:dyDescent="0.25">
      <c r="B95" s="88">
        <v>90</v>
      </c>
      <c r="C95" s="83" t="s">
        <v>3292</v>
      </c>
      <c r="D95" s="83" t="s">
        <v>3185</v>
      </c>
      <c r="E95" s="83" t="s">
        <v>3190</v>
      </c>
      <c r="F95" s="83" t="s">
        <v>3181</v>
      </c>
      <c r="G95" s="83" t="s">
        <v>3182</v>
      </c>
      <c r="H95" s="83" t="s">
        <v>3189</v>
      </c>
      <c r="I95" s="83" t="s">
        <v>3187</v>
      </c>
      <c r="J95" s="83" t="s">
        <v>3192</v>
      </c>
      <c r="K95" s="89" t="s">
        <v>3191</v>
      </c>
    </row>
    <row r="96" spans="2:11" x14ac:dyDescent="0.25">
      <c r="B96" s="88">
        <v>91</v>
      </c>
      <c r="C96" s="83" t="s">
        <v>3293</v>
      </c>
      <c r="D96" s="83" t="s">
        <v>3185</v>
      </c>
      <c r="E96" s="83" t="s">
        <v>3190</v>
      </c>
      <c r="F96" s="83" t="s">
        <v>3181</v>
      </c>
      <c r="G96" s="83" t="s">
        <v>3182</v>
      </c>
      <c r="H96" s="83" t="s">
        <v>3188</v>
      </c>
      <c r="I96" s="83" t="s">
        <v>3187</v>
      </c>
      <c r="J96" s="83" t="s">
        <v>3192</v>
      </c>
      <c r="K96" s="89" t="s">
        <v>3191</v>
      </c>
    </row>
    <row r="97" spans="2:11" x14ac:dyDescent="0.25">
      <c r="B97" s="88">
        <v>92</v>
      </c>
      <c r="C97" s="83" t="s">
        <v>3294</v>
      </c>
      <c r="D97" s="83" t="s">
        <v>3185</v>
      </c>
      <c r="E97" s="83" t="s">
        <v>3187</v>
      </c>
      <c r="F97" s="83" t="s">
        <v>3181</v>
      </c>
      <c r="G97" s="83" t="s">
        <v>3182</v>
      </c>
      <c r="H97" s="83" t="s">
        <v>3189</v>
      </c>
      <c r="I97" s="83" t="s">
        <v>3188</v>
      </c>
      <c r="J97" s="83" t="s">
        <v>3192</v>
      </c>
      <c r="K97" s="89" t="s">
        <v>3191</v>
      </c>
    </row>
    <row r="98" spans="2:11" x14ac:dyDescent="0.25">
      <c r="B98" s="88">
        <v>93</v>
      </c>
      <c r="C98" s="83" t="s">
        <v>3295</v>
      </c>
      <c r="D98" s="83" t="s">
        <v>3185</v>
      </c>
      <c r="E98" s="83" t="s">
        <v>3190</v>
      </c>
      <c r="F98" s="83" t="s">
        <v>3181</v>
      </c>
      <c r="G98" s="83" t="s">
        <v>3182</v>
      </c>
      <c r="H98" s="83" t="s">
        <v>3188</v>
      </c>
      <c r="I98" s="83" t="s">
        <v>3187</v>
      </c>
      <c r="J98" s="83" t="s">
        <v>3192</v>
      </c>
      <c r="K98" s="89" t="s">
        <v>3189</v>
      </c>
    </row>
    <row r="99" spans="2:11" x14ac:dyDescent="0.25">
      <c r="B99" s="88">
        <v>94</v>
      </c>
      <c r="C99" s="83" t="s">
        <v>3296</v>
      </c>
      <c r="D99" s="83" t="s">
        <v>3185</v>
      </c>
      <c r="E99" s="83" t="s">
        <v>3190</v>
      </c>
      <c r="F99" s="83" t="s">
        <v>3181</v>
      </c>
      <c r="G99" s="83" t="s">
        <v>3182</v>
      </c>
      <c r="H99" s="83" t="s">
        <v>3188</v>
      </c>
      <c r="I99" s="83" t="s">
        <v>3187</v>
      </c>
      <c r="J99" s="83" t="s">
        <v>3189</v>
      </c>
      <c r="K99" s="89" t="s">
        <v>3191</v>
      </c>
    </row>
    <row r="100" spans="2:11" x14ac:dyDescent="0.25">
      <c r="B100" s="88">
        <v>95</v>
      </c>
      <c r="C100" s="83" t="s">
        <v>3297</v>
      </c>
      <c r="D100" s="83" t="s">
        <v>3185</v>
      </c>
      <c r="E100" s="83" t="s">
        <v>3190</v>
      </c>
      <c r="F100" s="83" t="s">
        <v>3181</v>
      </c>
      <c r="G100" s="83" t="s">
        <v>3182</v>
      </c>
      <c r="H100" s="83" t="s">
        <v>3189</v>
      </c>
      <c r="I100" s="83" t="s">
        <v>3186</v>
      </c>
      <c r="J100" s="83" t="s">
        <v>3192</v>
      </c>
      <c r="K100" s="89" t="s">
        <v>3191</v>
      </c>
    </row>
    <row r="101" spans="2:11" x14ac:dyDescent="0.25">
      <c r="B101" s="88">
        <v>96</v>
      </c>
      <c r="C101" s="83" t="s">
        <v>3298</v>
      </c>
      <c r="D101" s="83" t="s">
        <v>3185</v>
      </c>
      <c r="E101" s="83" t="s">
        <v>3190</v>
      </c>
      <c r="F101" s="83" t="s">
        <v>3181</v>
      </c>
      <c r="G101" s="83" t="s">
        <v>3182</v>
      </c>
      <c r="H101" s="83" t="s">
        <v>3188</v>
      </c>
      <c r="I101" s="83" t="s">
        <v>3186</v>
      </c>
      <c r="J101" s="83" t="s">
        <v>3192</v>
      </c>
      <c r="K101" s="89" t="s">
        <v>3191</v>
      </c>
    </row>
    <row r="102" spans="2:11" x14ac:dyDescent="0.25">
      <c r="B102" s="88">
        <v>97</v>
      </c>
      <c r="C102" s="83" t="s">
        <v>3299</v>
      </c>
      <c r="D102" s="83" t="s">
        <v>3185</v>
      </c>
      <c r="E102" s="83" t="s">
        <v>3189</v>
      </c>
      <c r="F102" s="83" t="s">
        <v>3181</v>
      </c>
      <c r="G102" s="83" t="s">
        <v>3182</v>
      </c>
      <c r="H102" s="83" t="s">
        <v>3188</v>
      </c>
      <c r="I102" s="83" t="s">
        <v>3186</v>
      </c>
      <c r="J102" s="83" t="s">
        <v>3192</v>
      </c>
      <c r="K102" s="89" t="s">
        <v>3191</v>
      </c>
    </row>
    <row r="103" spans="2:11" x14ac:dyDescent="0.25">
      <c r="B103" s="88">
        <v>98</v>
      </c>
      <c r="C103" s="83" t="s">
        <v>3300</v>
      </c>
      <c r="D103" s="83" t="s">
        <v>3185</v>
      </c>
      <c r="E103" s="83" t="s">
        <v>3190</v>
      </c>
      <c r="F103" s="83" t="s">
        <v>3181</v>
      </c>
      <c r="G103" s="83" t="s">
        <v>3182</v>
      </c>
      <c r="H103" s="83" t="s">
        <v>3188</v>
      </c>
      <c r="I103" s="83" t="s">
        <v>3186</v>
      </c>
      <c r="J103" s="83" t="s">
        <v>3192</v>
      </c>
      <c r="K103" s="89" t="s">
        <v>3189</v>
      </c>
    </row>
    <row r="104" spans="2:11" x14ac:dyDescent="0.25">
      <c r="B104" s="88">
        <v>99</v>
      </c>
      <c r="C104" s="83" t="s">
        <v>3301</v>
      </c>
      <c r="D104" s="83" t="s">
        <v>3185</v>
      </c>
      <c r="E104" s="83" t="s">
        <v>3190</v>
      </c>
      <c r="F104" s="83" t="s">
        <v>3181</v>
      </c>
      <c r="G104" s="83" t="s">
        <v>3182</v>
      </c>
      <c r="H104" s="83" t="s">
        <v>3188</v>
      </c>
      <c r="I104" s="83" t="s">
        <v>3186</v>
      </c>
      <c r="J104" s="83" t="s">
        <v>3189</v>
      </c>
      <c r="K104" s="89" t="s">
        <v>3191</v>
      </c>
    </row>
    <row r="105" spans="2:11" x14ac:dyDescent="0.25">
      <c r="B105" s="88">
        <v>100</v>
      </c>
      <c r="C105" s="83" t="s">
        <v>3302</v>
      </c>
      <c r="D105" s="83" t="s">
        <v>3185</v>
      </c>
      <c r="E105" s="83" t="s">
        <v>3187</v>
      </c>
      <c r="F105" s="83" t="s">
        <v>3181</v>
      </c>
      <c r="G105" s="83" t="s">
        <v>3182</v>
      </c>
      <c r="H105" s="83" t="s">
        <v>3190</v>
      </c>
      <c r="I105" s="83" t="s">
        <v>3186</v>
      </c>
      <c r="J105" s="83" t="s">
        <v>3192</v>
      </c>
      <c r="K105" s="89" t="s">
        <v>3191</v>
      </c>
    </row>
    <row r="106" spans="2:11" x14ac:dyDescent="0.25">
      <c r="B106" s="88">
        <v>101</v>
      </c>
      <c r="C106" s="83" t="s">
        <v>3303</v>
      </c>
      <c r="D106" s="83" t="s">
        <v>3185</v>
      </c>
      <c r="E106" s="83" t="s">
        <v>3187</v>
      </c>
      <c r="F106" s="83" t="s">
        <v>3181</v>
      </c>
      <c r="G106" s="83" t="s">
        <v>3182</v>
      </c>
      <c r="H106" s="83" t="s">
        <v>3189</v>
      </c>
      <c r="I106" s="83" t="s">
        <v>3186</v>
      </c>
      <c r="J106" s="83" t="s">
        <v>3192</v>
      </c>
      <c r="K106" s="89" t="s">
        <v>3191</v>
      </c>
    </row>
    <row r="107" spans="2:11" x14ac:dyDescent="0.25">
      <c r="B107" s="88">
        <v>102</v>
      </c>
      <c r="C107" s="83" t="s">
        <v>3304</v>
      </c>
      <c r="D107" s="83" t="s">
        <v>3185</v>
      </c>
      <c r="E107" s="83" t="s">
        <v>3187</v>
      </c>
      <c r="F107" s="83" t="s">
        <v>3181</v>
      </c>
      <c r="G107" s="83" t="s">
        <v>3182</v>
      </c>
      <c r="H107" s="83" t="s">
        <v>3190</v>
      </c>
      <c r="I107" s="83" t="s">
        <v>3186</v>
      </c>
      <c r="J107" s="83" t="s">
        <v>3192</v>
      </c>
      <c r="K107" s="89" t="s">
        <v>3189</v>
      </c>
    </row>
    <row r="108" spans="2:11" x14ac:dyDescent="0.25">
      <c r="B108" s="88">
        <v>103</v>
      </c>
      <c r="C108" s="83" t="s">
        <v>3305</v>
      </c>
      <c r="D108" s="83" t="s">
        <v>3185</v>
      </c>
      <c r="E108" s="83" t="s">
        <v>3187</v>
      </c>
      <c r="F108" s="83" t="s">
        <v>3181</v>
      </c>
      <c r="G108" s="83" t="s">
        <v>3182</v>
      </c>
      <c r="H108" s="83" t="s">
        <v>3190</v>
      </c>
      <c r="I108" s="83" t="s">
        <v>3186</v>
      </c>
      <c r="J108" s="83" t="s">
        <v>3189</v>
      </c>
      <c r="K108" s="89" t="s">
        <v>3191</v>
      </c>
    </row>
    <row r="109" spans="2:11" x14ac:dyDescent="0.25">
      <c r="B109" s="88">
        <v>104</v>
      </c>
      <c r="C109" s="83" t="s">
        <v>3306</v>
      </c>
      <c r="D109" s="83" t="s">
        <v>3185</v>
      </c>
      <c r="E109" s="83" t="s">
        <v>3187</v>
      </c>
      <c r="F109" s="83" t="s">
        <v>3181</v>
      </c>
      <c r="G109" s="83" t="s">
        <v>3182</v>
      </c>
      <c r="H109" s="83" t="s">
        <v>3188</v>
      </c>
      <c r="I109" s="83" t="s">
        <v>3186</v>
      </c>
      <c r="J109" s="83" t="s">
        <v>3192</v>
      </c>
      <c r="K109" s="89" t="s">
        <v>3191</v>
      </c>
    </row>
    <row r="110" spans="2:11" x14ac:dyDescent="0.25">
      <c r="B110" s="88">
        <v>105</v>
      </c>
      <c r="C110" s="83" t="s">
        <v>3307</v>
      </c>
      <c r="D110" s="83" t="s">
        <v>3188</v>
      </c>
      <c r="E110" s="83" t="s">
        <v>3187</v>
      </c>
      <c r="F110" s="83" t="s">
        <v>3181</v>
      </c>
      <c r="G110" s="83" t="s">
        <v>3182</v>
      </c>
      <c r="H110" s="83" t="s">
        <v>3190</v>
      </c>
      <c r="I110" s="83" t="s">
        <v>3186</v>
      </c>
      <c r="J110" s="83" t="s">
        <v>3192</v>
      </c>
      <c r="K110" s="89" t="s">
        <v>3185</v>
      </c>
    </row>
    <row r="111" spans="2:11" x14ac:dyDescent="0.25">
      <c r="B111" s="88">
        <v>106</v>
      </c>
      <c r="C111" s="83" t="s">
        <v>3308</v>
      </c>
      <c r="D111" s="83" t="s">
        <v>3188</v>
      </c>
      <c r="E111" s="83" t="s">
        <v>3187</v>
      </c>
      <c r="F111" s="83" t="s">
        <v>3181</v>
      </c>
      <c r="G111" s="83" t="s">
        <v>3182</v>
      </c>
      <c r="H111" s="83" t="s">
        <v>3190</v>
      </c>
      <c r="I111" s="83" t="s">
        <v>3186</v>
      </c>
      <c r="J111" s="83" t="s">
        <v>3185</v>
      </c>
      <c r="K111" s="89" t="s">
        <v>3191</v>
      </c>
    </row>
    <row r="112" spans="2:11" x14ac:dyDescent="0.25">
      <c r="B112" s="88">
        <v>107</v>
      </c>
      <c r="C112" s="83" t="s">
        <v>3309</v>
      </c>
      <c r="D112" s="83" t="s">
        <v>3185</v>
      </c>
      <c r="E112" s="83" t="s">
        <v>3187</v>
      </c>
      <c r="F112" s="83" t="s">
        <v>3181</v>
      </c>
      <c r="G112" s="83" t="s">
        <v>3182</v>
      </c>
      <c r="H112" s="83" t="s">
        <v>3188</v>
      </c>
      <c r="I112" s="83" t="s">
        <v>3186</v>
      </c>
      <c r="J112" s="83" t="s">
        <v>3192</v>
      </c>
      <c r="K112" s="89" t="s">
        <v>3189</v>
      </c>
    </row>
    <row r="113" spans="2:11" x14ac:dyDescent="0.25">
      <c r="B113" s="88">
        <v>108</v>
      </c>
      <c r="C113" s="83" t="s">
        <v>3310</v>
      </c>
      <c r="D113" s="83" t="s">
        <v>3185</v>
      </c>
      <c r="E113" s="83" t="s">
        <v>3187</v>
      </c>
      <c r="F113" s="83" t="s">
        <v>3181</v>
      </c>
      <c r="G113" s="83" t="s">
        <v>3182</v>
      </c>
      <c r="H113" s="83" t="s">
        <v>3188</v>
      </c>
      <c r="I113" s="83" t="s">
        <v>3186</v>
      </c>
      <c r="J113" s="83" t="s">
        <v>3189</v>
      </c>
      <c r="K113" s="89" t="s">
        <v>3191</v>
      </c>
    </row>
    <row r="114" spans="2:11" x14ac:dyDescent="0.25">
      <c r="B114" s="88">
        <v>109</v>
      </c>
      <c r="C114" s="83" t="s">
        <v>3311</v>
      </c>
      <c r="D114" s="83" t="s">
        <v>3188</v>
      </c>
      <c r="E114" s="83" t="s">
        <v>3187</v>
      </c>
      <c r="F114" s="83" t="s">
        <v>3181</v>
      </c>
      <c r="G114" s="83" t="s">
        <v>3182</v>
      </c>
      <c r="H114" s="83" t="s">
        <v>3190</v>
      </c>
      <c r="I114" s="83" t="s">
        <v>3186</v>
      </c>
      <c r="J114" s="83" t="s">
        <v>3185</v>
      </c>
      <c r="K114" s="89" t="s">
        <v>3189</v>
      </c>
    </row>
    <row r="115" spans="2:11" x14ac:dyDescent="0.25">
      <c r="B115" s="88">
        <v>110</v>
      </c>
      <c r="C115" s="83" t="s">
        <v>3312</v>
      </c>
      <c r="D115" s="83" t="s">
        <v>3188</v>
      </c>
      <c r="E115" s="83" t="s">
        <v>3190</v>
      </c>
      <c r="F115" s="83" t="s">
        <v>3181</v>
      </c>
      <c r="G115" s="83" t="s">
        <v>3182</v>
      </c>
      <c r="H115" s="83" t="s">
        <v>3189</v>
      </c>
      <c r="I115" s="83" t="s">
        <v>3184</v>
      </c>
      <c r="J115" s="83" t="s">
        <v>3192</v>
      </c>
      <c r="K115" s="89" t="s">
        <v>3191</v>
      </c>
    </row>
    <row r="116" spans="2:11" x14ac:dyDescent="0.25">
      <c r="B116" s="88">
        <v>111</v>
      </c>
      <c r="C116" s="83" t="s">
        <v>3313</v>
      </c>
      <c r="D116" s="83" t="s">
        <v>3189</v>
      </c>
      <c r="E116" s="83" t="s">
        <v>3187</v>
      </c>
      <c r="F116" s="83" t="s">
        <v>3181</v>
      </c>
      <c r="G116" s="83" t="s">
        <v>3182</v>
      </c>
      <c r="H116" s="83" t="s">
        <v>3190</v>
      </c>
      <c r="I116" s="83" t="s">
        <v>3184</v>
      </c>
      <c r="J116" s="83" t="s">
        <v>3192</v>
      </c>
      <c r="K116" s="89" t="s">
        <v>3191</v>
      </c>
    </row>
    <row r="117" spans="2:11" x14ac:dyDescent="0.25">
      <c r="B117" s="88">
        <v>112</v>
      </c>
      <c r="C117" s="83" t="s">
        <v>3314</v>
      </c>
      <c r="D117" s="83" t="s">
        <v>3188</v>
      </c>
      <c r="E117" s="83" t="s">
        <v>3187</v>
      </c>
      <c r="F117" s="83" t="s">
        <v>3181</v>
      </c>
      <c r="G117" s="83" t="s">
        <v>3182</v>
      </c>
      <c r="H117" s="83" t="s">
        <v>3190</v>
      </c>
      <c r="I117" s="83" t="s">
        <v>3184</v>
      </c>
      <c r="J117" s="83" t="s">
        <v>3192</v>
      </c>
      <c r="K117" s="89" t="s">
        <v>3191</v>
      </c>
    </row>
    <row r="118" spans="2:11" x14ac:dyDescent="0.25">
      <c r="B118" s="88">
        <v>113</v>
      </c>
      <c r="C118" s="83" t="s">
        <v>3315</v>
      </c>
      <c r="D118" s="83" t="s">
        <v>3188</v>
      </c>
      <c r="E118" s="83" t="s">
        <v>3187</v>
      </c>
      <c r="F118" s="83" t="s">
        <v>3181</v>
      </c>
      <c r="G118" s="83" t="s">
        <v>3182</v>
      </c>
      <c r="H118" s="83" t="s">
        <v>3189</v>
      </c>
      <c r="I118" s="83" t="s">
        <v>3184</v>
      </c>
      <c r="J118" s="83" t="s">
        <v>3192</v>
      </c>
      <c r="K118" s="89" t="s">
        <v>3191</v>
      </c>
    </row>
    <row r="119" spans="2:11" x14ac:dyDescent="0.25">
      <c r="B119" s="88">
        <v>114</v>
      </c>
      <c r="C119" s="83" t="s">
        <v>3316</v>
      </c>
      <c r="D119" s="83" t="s">
        <v>3188</v>
      </c>
      <c r="E119" s="83" t="s">
        <v>3187</v>
      </c>
      <c r="F119" s="83" t="s">
        <v>3181</v>
      </c>
      <c r="G119" s="83" t="s">
        <v>3182</v>
      </c>
      <c r="H119" s="83" t="s">
        <v>3190</v>
      </c>
      <c r="I119" s="83" t="s">
        <v>3184</v>
      </c>
      <c r="J119" s="83" t="s">
        <v>3192</v>
      </c>
      <c r="K119" s="89" t="s">
        <v>3189</v>
      </c>
    </row>
    <row r="120" spans="2:11" x14ac:dyDescent="0.25">
      <c r="B120" s="88">
        <v>115</v>
      </c>
      <c r="C120" s="83" t="s">
        <v>3317</v>
      </c>
      <c r="D120" s="83" t="s">
        <v>3188</v>
      </c>
      <c r="E120" s="83" t="s">
        <v>3187</v>
      </c>
      <c r="F120" s="83" t="s">
        <v>3181</v>
      </c>
      <c r="G120" s="83" t="s">
        <v>3182</v>
      </c>
      <c r="H120" s="83" t="s">
        <v>3190</v>
      </c>
      <c r="I120" s="83" t="s">
        <v>3184</v>
      </c>
      <c r="J120" s="83" t="s">
        <v>3189</v>
      </c>
      <c r="K120" s="89" t="s">
        <v>3191</v>
      </c>
    </row>
    <row r="121" spans="2:11" x14ac:dyDescent="0.25">
      <c r="B121" s="88">
        <v>116</v>
      </c>
      <c r="C121" s="83" t="s">
        <v>3318</v>
      </c>
      <c r="D121" s="83" t="s">
        <v>3182</v>
      </c>
      <c r="E121" s="83" t="s">
        <v>3190</v>
      </c>
      <c r="F121" s="83" t="s">
        <v>3181</v>
      </c>
      <c r="G121" s="83" t="s">
        <v>3184</v>
      </c>
      <c r="H121" s="83" t="s">
        <v>3189</v>
      </c>
      <c r="I121" s="83" t="s">
        <v>3186</v>
      </c>
      <c r="J121" s="83" t="s">
        <v>3192</v>
      </c>
      <c r="K121" s="89" t="s">
        <v>3191</v>
      </c>
    </row>
    <row r="122" spans="2:11" x14ac:dyDescent="0.25">
      <c r="B122" s="88">
        <v>117</v>
      </c>
      <c r="C122" s="83" t="s">
        <v>3319</v>
      </c>
      <c r="D122" s="83" t="s">
        <v>3182</v>
      </c>
      <c r="E122" s="83" t="s">
        <v>3190</v>
      </c>
      <c r="F122" s="83" t="s">
        <v>3181</v>
      </c>
      <c r="G122" s="83" t="s">
        <v>3184</v>
      </c>
      <c r="H122" s="83" t="s">
        <v>3188</v>
      </c>
      <c r="I122" s="83" t="s">
        <v>3186</v>
      </c>
      <c r="J122" s="83" t="s">
        <v>3192</v>
      </c>
      <c r="K122" s="89" t="s">
        <v>3191</v>
      </c>
    </row>
    <row r="123" spans="2:11" x14ac:dyDescent="0.25">
      <c r="B123" s="88">
        <v>118</v>
      </c>
      <c r="C123" s="83" t="s">
        <v>3320</v>
      </c>
      <c r="D123" s="83" t="s">
        <v>3182</v>
      </c>
      <c r="E123" s="83" t="s">
        <v>3189</v>
      </c>
      <c r="F123" s="83" t="s">
        <v>3181</v>
      </c>
      <c r="G123" s="83" t="s">
        <v>3184</v>
      </c>
      <c r="H123" s="83" t="s">
        <v>3188</v>
      </c>
      <c r="I123" s="83" t="s">
        <v>3186</v>
      </c>
      <c r="J123" s="83" t="s">
        <v>3192</v>
      </c>
      <c r="K123" s="89" t="s">
        <v>3191</v>
      </c>
    </row>
    <row r="124" spans="2:11" x14ac:dyDescent="0.25">
      <c r="B124" s="88">
        <v>119</v>
      </c>
      <c r="C124" s="83" t="s">
        <v>3321</v>
      </c>
      <c r="D124" s="83" t="s">
        <v>3182</v>
      </c>
      <c r="E124" s="83" t="s">
        <v>3190</v>
      </c>
      <c r="F124" s="83" t="s">
        <v>3181</v>
      </c>
      <c r="G124" s="83" t="s">
        <v>3184</v>
      </c>
      <c r="H124" s="83" t="s">
        <v>3188</v>
      </c>
      <c r="I124" s="83" t="s">
        <v>3186</v>
      </c>
      <c r="J124" s="83" t="s">
        <v>3192</v>
      </c>
      <c r="K124" s="89" t="s">
        <v>3189</v>
      </c>
    </row>
    <row r="125" spans="2:11" x14ac:dyDescent="0.25">
      <c r="B125" s="88">
        <v>120</v>
      </c>
      <c r="C125" s="83" t="s">
        <v>3322</v>
      </c>
      <c r="D125" s="83" t="s">
        <v>3182</v>
      </c>
      <c r="E125" s="83" t="s">
        <v>3190</v>
      </c>
      <c r="F125" s="83" t="s">
        <v>3181</v>
      </c>
      <c r="G125" s="83" t="s">
        <v>3184</v>
      </c>
      <c r="H125" s="83" t="s">
        <v>3188</v>
      </c>
      <c r="I125" s="83" t="s">
        <v>3186</v>
      </c>
      <c r="J125" s="83" t="s">
        <v>3189</v>
      </c>
      <c r="K125" s="89" t="s">
        <v>3191</v>
      </c>
    </row>
    <row r="126" spans="2:11" x14ac:dyDescent="0.25">
      <c r="B126" s="88">
        <v>121</v>
      </c>
      <c r="C126" s="83" t="s">
        <v>3323</v>
      </c>
      <c r="D126" s="83" t="s">
        <v>3182</v>
      </c>
      <c r="E126" s="83" t="s">
        <v>3187</v>
      </c>
      <c r="F126" s="83" t="s">
        <v>3181</v>
      </c>
      <c r="G126" s="83" t="s">
        <v>3184</v>
      </c>
      <c r="H126" s="83" t="s">
        <v>3190</v>
      </c>
      <c r="I126" s="83" t="s">
        <v>3186</v>
      </c>
      <c r="J126" s="83" t="s">
        <v>3192</v>
      </c>
      <c r="K126" s="89" t="s">
        <v>3191</v>
      </c>
    </row>
    <row r="127" spans="2:11" x14ac:dyDescent="0.25">
      <c r="B127" s="88">
        <v>122</v>
      </c>
      <c r="C127" s="83" t="s">
        <v>3324</v>
      </c>
      <c r="D127" s="83" t="s">
        <v>3182</v>
      </c>
      <c r="E127" s="83" t="s">
        <v>3187</v>
      </c>
      <c r="F127" s="83" t="s">
        <v>3181</v>
      </c>
      <c r="G127" s="83" t="s">
        <v>3184</v>
      </c>
      <c r="H127" s="83" t="s">
        <v>3189</v>
      </c>
      <c r="I127" s="83" t="s">
        <v>3186</v>
      </c>
      <c r="J127" s="83" t="s">
        <v>3192</v>
      </c>
      <c r="K127" s="89" t="s">
        <v>3191</v>
      </c>
    </row>
    <row r="128" spans="2:11" x14ac:dyDescent="0.25">
      <c r="B128" s="88">
        <v>123</v>
      </c>
      <c r="C128" s="83" t="s">
        <v>3325</v>
      </c>
      <c r="D128" s="83" t="s">
        <v>3182</v>
      </c>
      <c r="E128" s="83" t="s">
        <v>3187</v>
      </c>
      <c r="F128" s="83" t="s">
        <v>3181</v>
      </c>
      <c r="G128" s="83" t="s">
        <v>3184</v>
      </c>
      <c r="H128" s="83" t="s">
        <v>3190</v>
      </c>
      <c r="I128" s="83" t="s">
        <v>3186</v>
      </c>
      <c r="J128" s="83" t="s">
        <v>3192</v>
      </c>
      <c r="K128" s="89" t="s">
        <v>3189</v>
      </c>
    </row>
    <row r="129" spans="2:11" x14ac:dyDescent="0.25">
      <c r="B129" s="88">
        <v>124</v>
      </c>
      <c r="C129" s="83" t="s">
        <v>3326</v>
      </c>
      <c r="D129" s="83" t="s">
        <v>3182</v>
      </c>
      <c r="E129" s="83" t="s">
        <v>3187</v>
      </c>
      <c r="F129" s="83" t="s">
        <v>3181</v>
      </c>
      <c r="G129" s="83" t="s">
        <v>3184</v>
      </c>
      <c r="H129" s="83" t="s">
        <v>3190</v>
      </c>
      <c r="I129" s="83" t="s">
        <v>3186</v>
      </c>
      <c r="J129" s="83" t="s">
        <v>3189</v>
      </c>
      <c r="K129" s="89" t="s">
        <v>3191</v>
      </c>
    </row>
    <row r="130" spans="2:11" x14ac:dyDescent="0.25">
      <c r="B130" s="88">
        <v>125</v>
      </c>
      <c r="C130" s="83" t="s">
        <v>3327</v>
      </c>
      <c r="D130" s="83" t="s">
        <v>3182</v>
      </c>
      <c r="E130" s="83" t="s">
        <v>3187</v>
      </c>
      <c r="F130" s="83" t="s">
        <v>3181</v>
      </c>
      <c r="G130" s="83" t="s">
        <v>3184</v>
      </c>
      <c r="H130" s="83" t="s">
        <v>3188</v>
      </c>
      <c r="I130" s="83" t="s">
        <v>3186</v>
      </c>
      <c r="J130" s="83" t="s">
        <v>3192</v>
      </c>
      <c r="K130" s="89" t="s">
        <v>3191</v>
      </c>
    </row>
    <row r="131" spans="2:11" x14ac:dyDescent="0.25">
      <c r="B131" s="88">
        <v>126</v>
      </c>
      <c r="C131" s="83" t="s">
        <v>3328</v>
      </c>
      <c r="D131" s="83" t="s">
        <v>3182</v>
      </c>
      <c r="E131" s="83" t="s">
        <v>3187</v>
      </c>
      <c r="F131" s="83" t="s">
        <v>3181</v>
      </c>
      <c r="G131" s="83" t="s">
        <v>3184</v>
      </c>
      <c r="H131" s="83" t="s">
        <v>3188</v>
      </c>
      <c r="I131" s="83" t="s">
        <v>3186</v>
      </c>
      <c r="J131" s="83" t="s">
        <v>3192</v>
      </c>
      <c r="K131" s="89" t="s">
        <v>3190</v>
      </c>
    </row>
    <row r="132" spans="2:11" x14ac:dyDescent="0.25">
      <c r="B132" s="88">
        <v>127</v>
      </c>
      <c r="C132" s="83" t="s">
        <v>3329</v>
      </c>
      <c r="D132" s="83" t="s">
        <v>3188</v>
      </c>
      <c r="E132" s="83" t="s">
        <v>3187</v>
      </c>
      <c r="F132" s="83" t="s">
        <v>3181</v>
      </c>
      <c r="G132" s="83" t="s">
        <v>3182</v>
      </c>
      <c r="H132" s="83" t="s">
        <v>3190</v>
      </c>
      <c r="I132" s="83" t="s">
        <v>3186</v>
      </c>
      <c r="J132" s="83" t="s">
        <v>3184</v>
      </c>
      <c r="K132" s="89" t="s">
        <v>3191</v>
      </c>
    </row>
    <row r="133" spans="2:11" x14ac:dyDescent="0.25">
      <c r="B133" s="88">
        <v>128</v>
      </c>
      <c r="C133" s="83" t="s">
        <v>3330</v>
      </c>
      <c r="D133" s="83" t="s">
        <v>3182</v>
      </c>
      <c r="E133" s="83" t="s">
        <v>3187</v>
      </c>
      <c r="F133" s="83" t="s">
        <v>3181</v>
      </c>
      <c r="G133" s="83" t="s">
        <v>3184</v>
      </c>
      <c r="H133" s="83" t="s">
        <v>3188</v>
      </c>
      <c r="I133" s="83" t="s">
        <v>3186</v>
      </c>
      <c r="J133" s="83" t="s">
        <v>3192</v>
      </c>
      <c r="K133" s="89" t="s">
        <v>3189</v>
      </c>
    </row>
    <row r="134" spans="2:11" x14ac:dyDescent="0.25">
      <c r="B134" s="88">
        <v>129</v>
      </c>
      <c r="C134" s="83" t="s">
        <v>3331</v>
      </c>
      <c r="D134" s="83" t="s">
        <v>3182</v>
      </c>
      <c r="E134" s="83" t="s">
        <v>3187</v>
      </c>
      <c r="F134" s="83" t="s">
        <v>3181</v>
      </c>
      <c r="G134" s="83" t="s">
        <v>3184</v>
      </c>
      <c r="H134" s="83" t="s">
        <v>3188</v>
      </c>
      <c r="I134" s="83" t="s">
        <v>3186</v>
      </c>
      <c r="J134" s="83" t="s">
        <v>3189</v>
      </c>
      <c r="K134" s="89" t="s">
        <v>3191</v>
      </c>
    </row>
    <row r="135" spans="2:11" x14ac:dyDescent="0.25">
      <c r="B135" s="88">
        <v>130</v>
      </c>
      <c r="C135" s="83" t="s">
        <v>3332</v>
      </c>
      <c r="D135" s="83" t="s">
        <v>3188</v>
      </c>
      <c r="E135" s="83" t="s">
        <v>3187</v>
      </c>
      <c r="F135" s="83" t="s">
        <v>3181</v>
      </c>
      <c r="G135" s="83" t="s">
        <v>3182</v>
      </c>
      <c r="H135" s="83" t="s">
        <v>3190</v>
      </c>
      <c r="I135" s="83" t="s">
        <v>3186</v>
      </c>
      <c r="J135" s="83" t="s">
        <v>3184</v>
      </c>
      <c r="K135" s="89" t="s">
        <v>3189</v>
      </c>
    </row>
    <row r="136" spans="2:11" x14ac:dyDescent="0.25">
      <c r="B136" s="88">
        <v>131</v>
      </c>
      <c r="C136" s="83" t="s">
        <v>3333</v>
      </c>
      <c r="D136" s="83" t="s">
        <v>3185</v>
      </c>
      <c r="E136" s="83" t="s">
        <v>3190</v>
      </c>
      <c r="F136" s="83" t="s">
        <v>3181</v>
      </c>
      <c r="G136" s="83" t="s">
        <v>3182</v>
      </c>
      <c r="H136" s="83" t="s">
        <v>3189</v>
      </c>
      <c r="I136" s="83" t="s">
        <v>3184</v>
      </c>
      <c r="J136" s="83" t="s">
        <v>3192</v>
      </c>
      <c r="K136" s="89" t="s">
        <v>3191</v>
      </c>
    </row>
    <row r="137" spans="2:11" x14ac:dyDescent="0.25">
      <c r="B137" s="88">
        <v>132</v>
      </c>
      <c r="C137" s="83" t="s">
        <v>3334</v>
      </c>
      <c r="D137" s="83" t="s">
        <v>3185</v>
      </c>
      <c r="E137" s="83" t="s">
        <v>3190</v>
      </c>
      <c r="F137" s="83" t="s">
        <v>3181</v>
      </c>
      <c r="G137" s="83" t="s">
        <v>3182</v>
      </c>
      <c r="H137" s="83" t="s">
        <v>3188</v>
      </c>
      <c r="I137" s="83" t="s">
        <v>3184</v>
      </c>
      <c r="J137" s="83" t="s">
        <v>3192</v>
      </c>
      <c r="K137" s="89" t="s">
        <v>3191</v>
      </c>
    </row>
    <row r="138" spans="2:11" x14ac:dyDescent="0.25">
      <c r="B138" s="88">
        <v>133</v>
      </c>
      <c r="C138" s="83" t="s">
        <v>3335</v>
      </c>
      <c r="D138" s="83" t="s">
        <v>3185</v>
      </c>
      <c r="E138" s="83" t="s">
        <v>3189</v>
      </c>
      <c r="F138" s="83" t="s">
        <v>3181</v>
      </c>
      <c r="G138" s="83" t="s">
        <v>3182</v>
      </c>
      <c r="H138" s="83" t="s">
        <v>3188</v>
      </c>
      <c r="I138" s="83" t="s">
        <v>3184</v>
      </c>
      <c r="J138" s="83" t="s">
        <v>3192</v>
      </c>
      <c r="K138" s="89" t="s">
        <v>3191</v>
      </c>
    </row>
    <row r="139" spans="2:11" x14ac:dyDescent="0.25">
      <c r="B139" s="88">
        <v>134</v>
      </c>
      <c r="C139" s="83" t="s">
        <v>3336</v>
      </c>
      <c r="D139" s="83" t="s">
        <v>3185</v>
      </c>
      <c r="E139" s="83" t="s">
        <v>3190</v>
      </c>
      <c r="F139" s="83" t="s">
        <v>3181</v>
      </c>
      <c r="G139" s="83" t="s">
        <v>3182</v>
      </c>
      <c r="H139" s="83" t="s">
        <v>3188</v>
      </c>
      <c r="I139" s="83" t="s">
        <v>3184</v>
      </c>
      <c r="J139" s="83" t="s">
        <v>3192</v>
      </c>
      <c r="K139" s="89" t="s">
        <v>3189</v>
      </c>
    </row>
    <row r="140" spans="2:11" x14ac:dyDescent="0.25">
      <c r="B140" s="88">
        <v>135</v>
      </c>
      <c r="C140" s="83" t="s">
        <v>3337</v>
      </c>
      <c r="D140" s="83" t="s">
        <v>3185</v>
      </c>
      <c r="E140" s="83" t="s">
        <v>3190</v>
      </c>
      <c r="F140" s="83" t="s">
        <v>3181</v>
      </c>
      <c r="G140" s="83" t="s">
        <v>3182</v>
      </c>
      <c r="H140" s="83" t="s">
        <v>3188</v>
      </c>
      <c r="I140" s="83" t="s">
        <v>3184</v>
      </c>
      <c r="J140" s="83" t="s">
        <v>3189</v>
      </c>
      <c r="K140" s="89" t="s">
        <v>3191</v>
      </c>
    </row>
    <row r="141" spans="2:11" x14ac:dyDescent="0.25">
      <c r="B141" s="88">
        <v>136</v>
      </c>
      <c r="C141" s="83" t="s">
        <v>3338</v>
      </c>
      <c r="D141" s="83" t="s">
        <v>3185</v>
      </c>
      <c r="E141" s="83" t="s">
        <v>3187</v>
      </c>
      <c r="F141" s="83" t="s">
        <v>3181</v>
      </c>
      <c r="G141" s="83" t="s">
        <v>3182</v>
      </c>
      <c r="H141" s="83" t="s">
        <v>3190</v>
      </c>
      <c r="I141" s="83" t="s">
        <v>3184</v>
      </c>
      <c r="J141" s="83" t="s">
        <v>3192</v>
      </c>
      <c r="K141" s="89" t="s">
        <v>3191</v>
      </c>
    </row>
    <row r="142" spans="2:11" x14ac:dyDescent="0.25">
      <c r="B142" s="88">
        <v>137</v>
      </c>
      <c r="C142" s="83" t="s">
        <v>3339</v>
      </c>
      <c r="D142" s="83" t="s">
        <v>3185</v>
      </c>
      <c r="E142" s="83" t="s">
        <v>3187</v>
      </c>
      <c r="F142" s="83" t="s">
        <v>3181</v>
      </c>
      <c r="G142" s="83" t="s">
        <v>3182</v>
      </c>
      <c r="H142" s="83" t="s">
        <v>3189</v>
      </c>
      <c r="I142" s="83" t="s">
        <v>3184</v>
      </c>
      <c r="J142" s="83" t="s">
        <v>3192</v>
      </c>
      <c r="K142" s="89" t="s">
        <v>3191</v>
      </c>
    </row>
    <row r="143" spans="2:11" x14ac:dyDescent="0.25">
      <c r="B143" s="88">
        <v>138</v>
      </c>
      <c r="C143" s="83" t="s">
        <v>3340</v>
      </c>
      <c r="D143" s="83" t="s">
        <v>3185</v>
      </c>
      <c r="E143" s="83" t="s">
        <v>3187</v>
      </c>
      <c r="F143" s="83" t="s">
        <v>3181</v>
      </c>
      <c r="G143" s="83" t="s">
        <v>3182</v>
      </c>
      <c r="H143" s="83" t="s">
        <v>3190</v>
      </c>
      <c r="I143" s="83" t="s">
        <v>3184</v>
      </c>
      <c r="J143" s="83" t="s">
        <v>3192</v>
      </c>
      <c r="K143" s="89" t="s">
        <v>3189</v>
      </c>
    </row>
    <row r="144" spans="2:11" x14ac:dyDescent="0.25">
      <c r="B144" s="88">
        <v>139</v>
      </c>
      <c r="C144" s="83" t="s">
        <v>3341</v>
      </c>
      <c r="D144" s="83" t="s">
        <v>3185</v>
      </c>
      <c r="E144" s="83" t="s">
        <v>3187</v>
      </c>
      <c r="F144" s="83" t="s">
        <v>3181</v>
      </c>
      <c r="G144" s="83" t="s">
        <v>3182</v>
      </c>
      <c r="H144" s="83" t="s">
        <v>3190</v>
      </c>
      <c r="I144" s="83" t="s">
        <v>3184</v>
      </c>
      <c r="J144" s="83" t="s">
        <v>3189</v>
      </c>
      <c r="K144" s="89" t="s">
        <v>3191</v>
      </c>
    </row>
    <row r="145" spans="2:11" x14ac:dyDescent="0.25">
      <c r="B145" s="88">
        <v>140</v>
      </c>
      <c r="C145" s="83" t="s">
        <v>3342</v>
      </c>
      <c r="D145" s="83" t="s">
        <v>3185</v>
      </c>
      <c r="E145" s="83" t="s">
        <v>3187</v>
      </c>
      <c r="F145" s="83" t="s">
        <v>3181</v>
      </c>
      <c r="G145" s="83" t="s">
        <v>3182</v>
      </c>
      <c r="H145" s="83" t="s">
        <v>3188</v>
      </c>
      <c r="I145" s="83" t="s">
        <v>3184</v>
      </c>
      <c r="J145" s="83" t="s">
        <v>3192</v>
      </c>
      <c r="K145" s="89" t="s">
        <v>3191</v>
      </c>
    </row>
    <row r="146" spans="2:11" x14ac:dyDescent="0.25">
      <c r="B146" s="88">
        <v>141</v>
      </c>
      <c r="C146" s="83" t="s">
        <v>3343</v>
      </c>
      <c r="D146" s="83" t="s">
        <v>3188</v>
      </c>
      <c r="E146" s="83" t="s">
        <v>3187</v>
      </c>
      <c r="F146" s="83" t="s">
        <v>3181</v>
      </c>
      <c r="G146" s="83" t="s">
        <v>3182</v>
      </c>
      <c r="H146" s="83" t="s">
        <v>3190</v>
      </c>
      <c r="I146" s="83" t="s">
        <v>3184</v>
      </c>
      <c r="J146" s="83" t="s">
        <v>3192</v>
      </c>
      <c r="K146" s="89" t="s">
        <v>3185</v>
      </c>
    </row>
    <row r="147" spans="2:11" x14ac:dyDescent="0.25">
      <c r="B147" s="88">
        <v>142</v>
      </c>
      <c r="C147" s="83" t="s">
        <v>3344</v>
      </c>
      <c r="D147" s="83" t="s">
        <v>3188</v>
      </c>
      <c r="E147" s="83" t="s">
        <v>3187</v>
      </c>
      <c r="F147" s="83" t="s">
        <v>3181</v>
      </c>
      <c r="G147" s="83" t="s">
        <v>3182</v>
      </c>
      <c r="H147" s="83" t="s">
        <v>3190</v>
      </c>
      <c r="I147" s="83" t="s">
        <v>3184</v>
      </c>
      <c r="J147" s="83" t="s">
        <v>3185</v>
      </c>
      <c r="K147" s="89" t="s">
        <v>3191</v>
      </c>
    </row>
    <row r="148" spans="2:11" x14ac:dyDescent="0.25">
      <c r="B148" s="88">
        <v>143</v>
      </c>
      <c r="C148" s="83" t="s">
        <v>3345</v>
      </c>
      <c r="D148" s="83" t="s">
        <v>3185</v>
      </c>
      <c r="E148" s="83" t="s">
        <v>3187</v>
      </c>
      <c r="F148" s="83" t="s">
        <v>3181</v>
      </c>
      <c r="G148" s="83" t="s">
        <v>3182</v>
      </c>
      <c r="H148" s="83" t="s">
        <v>3188</v>
      </c>
      <c r="I148" s="83" t="s">
        <v>3184</v>
      </c>
      <c r="J148" s="83" t="s">
        <v>3192</v>
      </c>
      <c r="K148" s="89" t="s">
        <v>3189</v>
      </c>
    </row>
    <row r="149" spans="2:11" x14ac:dyDescent="0.25">
      <c r="B149" s="88">
        <v>144</v>
      </c>
      <c r="C149" s="83" t="s">
        <v>3346</v>
      </c>
      <c r="D149" s="83" t="s">
        <v>3185</v>
      </c>
      <c r="E149" s="83" t="s">
        <v>3187</v>
      </c>
      <c r="F149" s="83" t="s">
        <v>3181</v>
      </c>
      <c r="G149" s="83" t="s">
        <v>3182</v>
      </c>
      <c r="H149" s="83" t="s">
        <v>3188</v>
      </c>
      <c r="I149" s="83" t="s">
        <v>3184</v>
      </c>
      <c r="J149" s="83" t="s">
        <v>3189</v>
      </c>
      <c r="K149" s="89" t="s">
        <v>3191</v>
      </c>
    </row>
    <row r="150" spans="2:11" x14ac:dyDescent="0.25">
      <c r="B150" s="88">
        <v>145</v>
      </c>
      <c r="C150" s="83" t="s">
        <v>3347</v>
      </c>
      <c r="D150" s="83" t="s">
        <v>3188</v>
      </c>
      <c r="E150" s="83" t="s">
        <v>3187</v>
      </c>
      <c r="F150" s="83" t="s">
        <v>3181</v>
      </c>
      <c r="G150" s="83" t="s">
        <v>3182</v>
      </c>
      <c r="H150" s="83" t="s">
        <v>3190</v>
      </c>
      <c r="I150" s="83" t="s">
        <v>3184</v>
      </c>
      <c r="J150" s="83" t="s">
        <v>3185</v>
      </c>
      <c r="K150" s="89" t="s">
        <v>3189</v>
      </c>
    </row>
    <row r="151" spans="2:11" x14ac:dyDescent="0.25">
      <c r="B151" s="88">
        <v>146</v>
      </c>
      <c r="C151" s="83" t="s">
        <v>3348</v>
      </c>
      <c r="D151" s="83" t="s">
        <v>3182</v>
      </c>
      <c r="E151" s="83" t="s">
        <v>3190</v>
      </c>
      <c r="F151" s="83" t="s">
        <v>3181</v>
      </c>
      <c r="G151" s="83" t="s">
        <v>3184</v>
      </c>
      <c r="H151" s="83" t="s">
        <v>3185</v>
      </c>
      <c r="I151" s="83" t="s">
        <v>3186</v>
      </c>
      <c r="J151" s="83" t="s">
        <v>3192</v>
      </c>
      <c r="K151" s="89" t="s">
        <v>3191</v>
      </c>
    </row>
    <row r="152" spans="2:11" x14ac:dyDescent="0.25">
      <c r="B152" s="88">
        <v>147</v>
      </c>
      <c r="C152" s="83" t="s">
        <v>3349</v>
      </c>
      <c r="D152" s="83" t="s">
        <v>3182</v>
      </c>
      <c r="E152" s="83" t="s">
        <v>3185</v>
      </c>
      <c r="F152" s="83" t="s">
        <v>3181</v>
      </c>
      <c r="G152" s="83" t="s">
        <v>3184</v>
      </c>
      <c r="H152" s="83" t="s">
        <v>3189</v>
      </c>
      <c r="I152" s="83" t="s">
        <v>3186</v>
      </c>
      <c r="J152" s="83" t="s">
        <v>3192</v>
      </c>
      <c r="K152" s="89" t="s">
        <v>3191</v>
      </c>
    </row>
    <row r="153" spans="2:11" x14ac:dyDescent="0.25">
      <c r="B153" s="88">
        <v>148</v>
      </c>
      <c r="C153" s="83" t="s">
        <v>3350</v>
      </c>
      <c r="D153" s="83" t="s">
        <v>3182</v>
      </c>
      <c r="E153" s="83" t="s">
        <v>3190</v>
      </c>
      <c r="F153" s="83" t="s">
        <v>3181</v>
      </c>
      <c r="G153" s="83" t="s">
        <v>3184</v>
      </c>
      <c r="H153" s="83" t="s">
        <v>3185</v>
      </c>
      <c r="I153" s="83" t="s">
        <v>3186</v>
      </c>
      <c r="J153" s="83" t="s">
        <v>3192</v>
      </c>
      <c r="K153" s="89" t="s">
        <v>3189</v>
      </c>
    </row>
    <row r="154" spans="2:11" x14ac:dyDescent="0.25">
      <c r="B154" s="88">
        <v>149</v>
      </c>
      <c r="C154" s="83" t="s">
        <v>3351</v>
      </c>
      <c r="D154" s="83" t="s">
        <v>3182</v>
      </c>
      <c r="E154" s="83" t="s">
        <v>3190</v>
      </c>
      <c r="F154" s="83" t="s">
        <v>3181</v>
      </c>
      <c r="G154" s="83" t="s">
        <v>3184</v>
      </c>
      <c r="H154" s="83" t="s">
        <v>3185</v>
      </c>
      <c r="I154" s="83" t="s">
        <v>3186</v>
      </c>
      <c r="J154" s="83" t="s">
        <v>3189</v>
      </c>
      <c r="K154" s="89" t="s">
        <v>3191</v>
      </c>
    </row>
    <row r="155" spans="2:11" x14ac:dyDescent="0.25">
      <c r="B155" s="88">
        <v>150</v>
      </c>
      <c r="C155" s="83" t="s">
        <v>3352</v>
      </c>
      <c r="D155" s="83" t="s">
        <v>3182</v>
      </c>
      <c r="E155" s="83" t="s">
        <v>3185</v>
      </c>
      <c r="F155" s="83" t="s">
        <v>3181</v>
      </c>
      <c r="G155" s="83" t="s">
        <v>3184</v>
      </c>
      <c r="H155" s="83" t="s">
        <v>3188</v>
      </c>
      <c r="I155" s="83" t="s">
        <v>3186</v>
      </c>
      <c r="J155" s="83" t="s">
        <v>3192</v>
      </c>
      <c r="K155" s="89" t="s">
        <v>3191</v>
      </c>
    </row>
    <row r="156" spans="2:11" x14ac:dyDescent="0.25">
      <c r="B156" s="88">
        <v>151</v>
      </c>
      <c r="C156" s="83" t="s">
        <v>3353</v>
      </c>
      <c r="D156" s="83" t="s">
        <v>3182</v>
      </c>
      <c r="E156" s="83" t="s">
        <v>3190</v>
      </c>
      <c r="F156" s="83" t="s">
        <v>3181</v>
      </c>
      <c r="G156" s="83" t="s">
        <v>3184</v>
      </c>
      <c r="H156" s="83" t="s">
        <v>3188</v>
      </c>
      <c r="I156" s="83" t="s">
        <v>3186</v>
      </c>
      <c r="J156" s="83" t="s">
        <v>3192</v>
      </c>
      <c r="K156" s="89" t="s">
        <v>3185</v>
      </c>
    </row>
    <row r="157" spans="2:11" x14ac:dyDescent="0.25">
      <c r="B157" s="88">
        <v>152</v>
      </c>
      <c r="C157" s="83" t="s">
        <v>3354</v>
      </c>
      <c r="D157" s="83" t="s">
        <v>3182</v>
      </c>
      <c r="E157" s="83" t="s">
        <v>3190</v>
      </c>
      <c r="F157" s="83" t="s">
        <v>3181</v>
      </c>
      <c r="G157" s="83" t="s">
        <v>3184</v>
      </c>
      <c r="H157" s="83" t="s">
        <v>3188</v>
      </c>
      <c r="I157" s="83" t="s">
        <v>3186</v>
      </c>
      <c r="J157" s="83" t="s">
        <v>3185</v>
      </c>
      <c r="K157" s="89" t="s">
        <v>3191</v>
      </c>
    </row>
    <row r="158" spans="2:11" x14ac:dyDescent="0.25">
      <c r="B158" s="88">
        <v>153</v>
      </c>
      <c r="C158" s="83" t="s">
        <v>3355</v>
      </c>
      <c r="D158" s="83" t="s">
        <v>3182</v>
      </c>
      <c r="E158" s="83" t="s">
        <v>3185</v>
      </c>
      <c r="F158" s="83" t="s">
        <v>3181</v>
      </c>
      <c r="G158" s="83" t="s">
        <v>3184</v>
      </c>
      <c r="H158" s="83" t="s">
        <v>3188</v>
      </c>
      <c r="I158" s="83" t="s">
        <v>3186</v>
      </c>
      <c r="J158" s="83" t="s">
        <v>3192</v>
      </c>
      <c r="K158" s="89" t="s">
        <v>3189</v>
      </c>
    </row>
    <row r="159" spans="2:11" x14ac:dyDescent="0.25">
      <c r="B159" s="88">
        <v>154</v>
      </c>
      <c r="C159" s="83" t="s">
        <v>3356</v>
      </c>
      <c r="D159" s="83" t="s">
        <v>3182</v>
      </c>
      <c r="E159" s="83" t="s">
        <v>3185</v>
      </c>
      <c r="F159" s="83" t="s">
        <v>3181</v>
      </c>
      <c r="G159" s="83" t="s">
        <v>3184</v>
      </c>
      <c r="H159" s="83" t="s">
        <v>3188</v>
      </c>
      <c r="I159" s="83" t="s">
        <v>3186</v>
      </c>
      <c r="J159" s="83" t="s">
        <v>3189</v>
      </c>
      <c r="K159" s="89" t="s">
        <v>3191</v>
      </c>
    </row>
    <row r="160" spans="2:11" x14ac:dyDescent="0.25">
      <c r="B160" s="88">
        <v>155</v>
      </c>
      <c r="C160" s="83" t="s">
        <v>3357</v>
      </c>
      <c r="D160" s="83" t="s">
        <v>3182</v>
      </c>
      <c r="E160" s="83" t="s">
        <v>3190</v>
      </c>
      <c r="F160" s="83" t="s">
        <v>3181</v>
      </c>
      <c r="G160" s="83" t="s">
        <v>3184</v>
      </c>
      <c r="H160" s="83" t="s">
        <v>3188</v>
      </c>
      <c r="I160" s="83" t="s">
        <v>3186</v>
      </c>
      <c r="J160" s="83" t="s">
        <v>3185</v>
      </c>
      <c r="K160" s="89" t="s">
        <v>3189</v>
      </c>
    </row>
    <row r="161" spans="2:11" x14ac:dyDescent="0.25">
      <c r="B161" s="88">
        <v>156</v>
      </c>
      <c r="C161" s="83" t="s">
        <v>3358</v>
      </c>
      <c r="D161" s="83" t="s">
        <v>3182</v>
      </c>
      <c r="E161" s="83" t="s">
        <v>3187</v>
      </c>
      <c r="F161" s="83" t="s">
        <v>3181</v>
      </c>
      <c r="G161" s="83" t="s">
        <v>3184</v>
      </c>
      <c r="H161" s="83" t="s">
        <v>3185</v>
      </c>
      <c r="I161" s="83" t="s">
        <v>3186</v>
      </c>
      <c r="J161" s="83" t="s">
        <v>3192</v>
      </c>
      <c r="K161" s="89" t="s">
        <v>3191</v>
      </c>
    </row>
    <row r="162" spans="2:11" x14ac:dyDescent="0.25">
      <c r="B162" s="88">
        <v>157</v>
      </c>
      <c r="C162" s="83" t="s">
        <v>3359</v>
      </c>
      <c r="D162" s="83" t="s">
        <v>3182</v>
      </c>
      <c r="E162" s="83" t="s">
        <v>3187</v>
      </c>
      <c r="F162" s="83" t="s">
        <v>3181</v>
      </c>
      <c r="G162" s="83" t="s">
        <v>3184</v>
      </c>
      <c r="H162" s="83" t="s">
        <v>3190</v>
      </c>
      <c r="I162" s="83" t="s">
        <v>3186</v>
      </c>
      <c r="J162" s="83" t="s">
        <v>3192</v>
      </c>
      <c r="K162" s="89" t="s">
        <v>3185</v>
      </c>
    </row>
    <row r="163" spans="2:11" x14ac:dyDescent="0.25">
      <c r="B163" s="88">
        <v>158</v>
      </c>
      <c r="C163" s="83" t="s">
        <v>3360</v>
      </c>
      <c r="D163" s="83" t="s">
        <v>3182</v>
      </c>
      <c r="E163" s="83" t="s">
        <v>3187</v>
      </c>
      <c r="F163" s="83" t="s">
        <v>3181</v>
      </c>
      <c r="G163" s="83" t="s">
        <v>3184</v>
      </c>
      <c r="H163" s="83" t="s">
        <v>3190</v>
      </c>
      <c r="I163" s="83" t="s">
        <v>3186</v>
      </c>
      <c r="J163" s="83" t="s">
        <v>3185</v>
      </c>
      <c r="K163" s="89" t="s">
        <v>3191</v>
      </c>
    </row>
    <row r="164" spans="2:11" x14ac:dyDescent="0.25">
      <c r="B164" s="88">
        <v>159</v>
      </c>
      <c r="C164" s="83" t="s">
        <v>3361</v>
      </c>
      <c r="D164" s="83" t="s">
        <v>3182</v>
      </c>
      <c r="E164" s="83" t="s">
        <v>3187</v>
      </c>
      <c r="F164" s="83" t="s">
        <v>3181</v>
      </c>
      <c r="G164" s="83" t="s">
        <v>3184</v>
      </c>
      <c r="H164" s="83" t="s">
        <v>3185</v>
      </c>
      <c r="I164" s="83" t="s">
        <v>3186</v>
      </c>
      <c r="J164" s="83" t="s">
        <v>3192</v>
      </c>
      <c r="K164" s="89" t="s">
        <v>3189</v>
      </c>
    </row>
    <row r="165" spans="2:11" x14ac:dyDescent="0.25">
      <c r="B165" s="88">
        <v>160</v>
      </c>
      <c r="C165" s="83" t="s">
        <v>3362</v>
      </c>
      <c r="D165" s="83" t="s">
        <v>3182</v>
      </c>
      <c r="E165" s="83" t="s">
        <v>3187</v>
      </c>
      <c r="F165" s="83" t="s">
        <v>3181</v>
      </c>
      <c r="G165" s="83" t="s">
        <v>3184</v>
      </c>
      <c r="H165" s="83" t="s">
        <v>3185</v>
      </c>
      <c r="I165" s="83" t="s">
        <v>3186</v>
      </c>
      <c r="J165" s="83" t="s">
        <v>3189</v>
      </c>
      <c r="K165" s="89" t="s">
        <v>3191</v>
      </c>
    </row>
    <row r="166" spans="2:11" x14ac:dyDescent="0.25">
      <c r="B166" s="88">
        <v>161</v>
      </c>
      <c r="C166" s="83" t="s">
        <v>3363</v>
      </c>
      <c r="D166" s="83" t="s">
        <v>3182</v>
      </c>
      <c r="E166" s="83" t="s">
        <v>3187</v>
      </c>
      <c r="F166" s="83" t="s">
        <v>3181</v>
      </c>
      <c r="G166" s="83" t="s">
        <v>3184</v>
      </c>
      <c r="H166" s="83" t="s">
        <v>3190</v>
      </c>
      <c r="I166" s="83" t="s">
        <v>3186</v>
      </c>
      <c r="J166" s="83" t="s">
        <v>3185</v>
      </c>
      <c r="K166" s="89" t="s">
        <v>3189</v>
      </c>
    </row>
    <row r="167" spans="2:11" x14ac:dyDescent="0.25">
      <c r="B167" s="88">
        <v>162</v>
      </c>
      <c r="C167" s="83" t="s">
        <v>3364</v>
      </c>
      <c r="D167" s="83" t="s">
        <v>3182</v>
      </c>
      <c r="E167" s="83" t="s">
        <v>3187</v>
      </c>
      <c r="F167" s="83" t="s">
        <v>3181</v>
      </c>
      <c r="G167" s="83" t="s">
        <v>3184</v>
      </c>
      <c r="H167" s="83" t="s">
        <v>3188</v>
      </c>
      <c r="I167" s="83" t="s">
        <v>3186</v>
      </c>
      <c r="J167" s="83" t="s">
        <v>3192</v>
      </c>
      <c r="K167" s="89" t="s">
        <v>3185</v>
      </c>
    </row>
    <row r="168" spans="2:11" x14ac:dyDescent="0.25">
      <c r="B168" s="88">
        <v>163</v>
      </c>
      <c r="C168" s="83" t="s">
        <v>3365</v>
      </c>
      <c r="D168" s="83" t="s">
        <v>3182</v>
      </c>
      <c r="E168" s="83" t="s">
        <v>3187</v>
      </c>
      <c r="F168" s="83" t="s">
        <v>3181</v>
      </c>
      <c r="G168" s="83" t="s">
        <v>3184</v>
      </c>
      <c r="H168" s="83" t="s">
        <v>3188</v>
      </c>
      <c r="I168" s="83" t="s">
        <v>3186</v>
      </c>
      <c r="J168" s="83" t="s">
        <v>3185</v>
      </c>
      <c r="K168" s="89" t="s">
        <v>3191</v>
      </c>
    </row>
    <row r="169" spans="2:11" x14ac:dyDescent="0.25">
      <c r="B169" s="88">
        <v>164</v>
      </c>
      <c r="C169" s="83" t="s">
        <v>3366</v>
      </c>
      <c r="D169" s="83" t="s">
        <v>3188</v>
      </c>
      <c r="E169" s="83" t="s">
        <v>3187</v>
      </c>
      <c r="F169" s="83" t="s">
        <v>3181</v>
      </c>
      <c r="G169" s="83" t="s">
        <v>3182</v>
      </c>
      <c r="H169" s="83" t="s">
        <v>3190</v>
      </c>
      <c r="I169" s="83" t="s">
        <v>3186</v>
      </c>
      <c r="J169" s="83" t="s">
        <v>3184</v>
      </c>
      <c r="K169" s="89" t="s">
        <v>3185</v>
      </c>
    </row>
    <row r="170" spans="2:11" x14ac:dyDescent="0.25">
      <c r="B170" s="88">
        <v>165</v>
      </c>
      <c r="C170" s="83" t="s">
        <v>3367</v>
      </c>
      <c r="D170" s="83" t="s">
        <v>3182</v>
      </c>
      <c r="E170" s="83" t="s">
        <v>3187</v>
      </c>
      <c r="F170" s="83" t="s">
        <v>3181</v>
      </c>
      <c r="G170" s="83" t="s">
        <v>3184</v>
      </c>
      <c r="H170" s="83" t="s">
        <v>3188</v>
      </c>
      <c r="I170" s="83" t="s">
        <v>3186</v>
      </c>
      <c r="J170" s="83" t="s">
        <v>3185</v>
      </c>
      <c r="K170" s="89" t="s">
        <v>3189</v>
      </c>
    </row>
    <row r="171" spans="2:11" x14ac:dyDescent="0.25">
      <c r="B171" s="88">
        <v>166</v>
      </c>
      <c r="C171" s="83" t="s">
        <v>3368</v>
      </c>
      <c r="D171" s="83" t="s">
        <v>3188</v>
      </c>
      <c r="E171" s="83" t="s">
        <v>3190</v>
      </c>
      <c r="F171" s="83" t="s">
        <v>3189</v>
      </c>
      <c r="G171" s="83" t="s">
        <v>3186</v>
      </c>
      <c r="H171" s="83" t="s">
        <v>3180</v>
      </c>
      <c r="I171" s="83" t="s">
        <v>3187</v>
      </c>
      <c r="J171" s="83" t="s">
        <v>3192</v>
      </c>
      <c r="K171" s="89" t="s">
        <v>3191</v>
      </c>
    </row>
    <row r="172" spans="2:11" x14ac:dyDescent="0.25">
      <c r="B172" s="88">
        <v>167</v>
      </c>
      <c r="C172" s="83" t="s">
        <v>3369</v>
      </c>
      <c r="D172" s="83" t="s">
        <v>3185</v>
      </c>
      <c r="E172" s="83" t="s">
        <v>3190</v>
      </c>
      <c r="F172" s="83" t="s">
        <v>3189</v>
      </c>
      <c r="G172" s="83" t="s">
        <v>3180</v>
      </c>
      <c r="H172" s="83" t="s">
        <v>3188</v>
      </c>
      <c r="I172" s="83" t="s">
        <v>3187</v>
      </c>
      <c r="J172" s="83" t="s">
        <v>3192</v>
      </c>
      <c r="K172" s="89" t="s">
        <v>3191</v>
      </c>
    </row>
    <row r="173" spans="2:11" x14ac:dyDescent="0.25">
      <c r="B173" s="88">
        <v>168</v>
      </c>
      <c r="C173" s="83" t="s">
        <v>3370</v>
      </c>
      <c r="D173" s="83" t="s">
        <v>3185</v>
      </c>
      <c r="E173" s="83" t="s">
        <v>3190</v>
      </c>
      <c r="F173" s="83" t="s">
        <v>3189</v>
      </c>
      <c r="G173" s="83" t="s">
        <v>3186</v>
      </c>
      <c r="H173" s="83" t="s">
        <v>3180</v>
      </c>
      <c r="I173" s="83" t="s">
        <v>3188</v>
      </c>
      <c r="J173" s="83" t="s">
        <v>3192</v>
      </c>
      <c r="K173" s="89" t="s">
        <v>3191</v>
      </c>
    </row>
    <row r="174" spans="2:11" x14ac:dyDescent="0.25">
      <c r="B174" s="88">
        <v>169</v>
      </c>
      <c r="C174" s="83" t="s">
        <v>3371</v>
      </c>
      <c r="D174" s="83" t="s">
        <v>3185</v>
      </c>
      <c r="E174" s="83" t="s">
        <v>3190</v>
      </c>
      <c r="F174" s="83" t="s">
        <v>3189</v>
      </c>
      <c r="G174" s="83" t="s">
        <v>3186</v>
      </c>
      <c r="H174" s="83" t="s">
        <v>3180</v>
      </c>
      <c r="I174" s="83" t="s">
        <v>3187</v>
      </c>
      <c r="J174" s="83" t="s">
        <v>3192</v>
      </c>
      <c r="K174" s="89" t="s">
        <v>3191</v>
      </c>
    </row>
    <row r="175" spans="2:11" x14ac:dyDescent="0.25">
      <c r="B175" s="88">
        <v>170</v>
      </c>
      <c r="C175" s="83" t="s">
        <v>3372</v>
      </c>
      <c r="D175" s="83" t="s">
        <v>3185</v>
      </c>
      <c r="E175" s="83" t="s">
        <v>3187</v>
      </c>
      <c r="F175" s="83" t="s">
        <v>3190</v>
      </c>
      <c r="G175" s="83" t="s">
        <v>3186</v>
      </c>
      <c r="H175" s="83" t="s">
        <v>3180</v>
      </c>
      <c r="I175" s="83" t="s">
        <v>3188</v>
      </c>
      <c r="J175" s="83" t="s">
        <v>3192</v>
      </c>
      <c r="K175" s="89" t="s">
        <v>3191</v>
      </c>
    </row>
    <row r="176" spans="2:11" x14ac:dyDescent="0.25">
      <c r="B176" s="88">
        <v>171</v>
      </c>
      <c r="C176" s="83" t="s">
        <v>3373</v>
      </c>
      <c r="D176" s="83" t="s">
        <v>3185</v>
      </c>
      <c r="E176" s="83" t="s">
        <v>3187</v>
      </c>
      <c r="F176" s="83" t="s">
        <v>3189</v>
      </c>
      <c r="G176" s="83" t="s">
        <v>3186</v>
      </c>
      <c r="H176" s="83" t="s">
        <v>3180</v>
      </c>
      <c r="I176" s="83" t="s">
        <v>3188</v>
      </c>
      <c r="J176" s="83" t="s">
        <v>3192</v>
      </c>
      <c r="K176" s="89" t="s">
        <v>3191</v>
      </c>
    </row>
    <row r="177" spans="2:11" x14ac:dyDescent="0.25">
      <c r="B177" s="88">
        <v>172</v>
      </c>
      <c r="C177" s="83" t="s">
        <v>3374</v>
      </c>
      <c r="D177" s="83" t="s">
        <v>3185</v>
      </c>
      <c r="E177" s="83" t="s">
        <v>3187</v>
      </c>
      <c r="F177" s="83" t="s">
        <v>3190</v>
      </c>
      <c r="G177" s="83" t="s">
        <v>3186</v>
      </c>
      <c r="H177" s="83" t="s">
        <v>3180</v>
      </c>
      <c r="I177" s="83" t="s">
        <v>3188</v>
      </c>
      <c r="J177" s="83" t="s">
        <v>3192</v>
      </c>
      <c r="K177" s="89" t="s">
        <v>3189</v>
      </c>
    </row>
    <row r="178" spans="2:11" x14ac:dyDescent="0.25">
      <c r="B178" s="88">
        <v>173</v>
      </c>
      <c r="C178" s="83" t="s">
        <v>3375</v>
      </c>
      <c r="D178" s="83" t="s">
        <v>3185</v>
      </c>
      <c r="E178" s="83" t="s">
        <v>3187</v>
      </c>
      <c r="F178" s="83" t="s">
        <v>3190</v>
      </c>
      <c r="G178" s="83" t="s">
        <v>3186</v>
      </c>
      <c r="H178" s="83" t="s">
        <v>3180</v>
      </c>
      <c r="I178" s="83" t="s">
        <v>3188</v>
      </c>
      <c r="J178" s="83" t="s">
        <v>3189</v>
      </c>
      <c r="K178" s="89" t="s">
        <v>3191</v>
      </c>
    </row>
    <row r="179" spans="2:11" x14ac:dyDescent="0.25">
      <c r="B179" s="88">
        <v>174</v>
      </c>
      <c r="C179" s="83" t="s">
        <v>3376</v>
      </c>
      <c r="D179" s="83" t="s">
        <v>3188</v>
      </c>
      <c r="E179" s="83" t="s">
        <v>3190</v>
      </c>
      <c r="F179" s="83" t="s">
        <v>3189</v>
      </c>
      <c r="G179" s="83" t="s">
        <v>3184</v>
      </c>
      <c r="H179" s="83" t="s">
        <v>3180</v>
      </c>
      <c r="I179" s="83" t="s">
        <v>3187</v>
      </c>
      <c r="J179" s="83" t="s">
        <v>3192</v>
      </c>
      <c r="K179" s="89" t="s">
        <v>3191</v>
      </c>
    </row>
    <row r="180" spans="2:11" x14ac:dyDescent="0.25">
      <c r="B180" s="88">
        <v>175</v>
      </c>
      <c r="C180" s="83" t="s">
        <v>3377</v>
      </c>
      <c r="D180" s="83" t="s">
        <v>3188</v>
      </c>
      <c r="E180" s="83" t="s">
        <v>3190</v>
      </c>
      <c r="F180" s="83" t="s">
        <v>3189</v>
      </c>
      <c r="G180" s="83" t="s">
        <v>3184</v>
      </c>
      <c r="H180" s="83" t="s">
        <v>3180</v>
      </c>
      <c r="I180" s="83" t="s">
        <v>3186</v>
      </c>
      <c r="J180" s="83" t="s">
        <v>3192</v>
      </c>
      <c r="K180" s="89" t="s">
        <v>3191</v>
      </c>
    </row>
    <row r="181" spans="2:11" x14ac:dyDescent="0.25">
      <c r="B181" s="88">
        <v>176</v>
      </c>
      <c r="C181" s="83" t="s">
        <v>3378</v>
      </c>
      <c r="D181" s="83" t="s">
        <v>3189</v>
      </c>
      <c r="E181" s="83" t="s">
        <v>3187</v>
      </c>
      <c r="F181" s="83" t="s">
        <v>3190</v>
      </c>
      <c r="G181" s="83" t="s">
        <v>3184</v>
      </c>
      <c r="H181" s="83" t="s">
        <v>3180</v>
      </c>
      <c r="I181" s="83" t="s">
        <v>3186</v>
      </c>
      <c r="J181" s="83" t="s">
        <v>3192</v>
      </c>
      <c r="K181" s="89" t="s">
        <v>3191</v>
      </c>
    </row>
    <row r="182" spans="2:11" x14ac:dyDescent="0.25">
      <c r="B182" s="88">
        <v>177</v>
      </c>
      <c r="C182" s="83" t="s">
        <v>3379</v>
      </c>
      <c r="D182" s="83" t="s">
        <v>3188</v>
      </c>
      <c r="E182" s="83" t="s">
        <v>3187</v>
      </c>
      <c r="F182" s="83" t="s">
        <v>3190</v>
      </c>
      <c r="G182" s="83" t="s">
        <v>3184</v>
      </c>
      <c r="H182" s="83" t="s">
        <v>3180</v>
      </c>
      <c r="I182" s="83" t="s">
        <v>3186</v>
      </c>
      <c r="J182" s="83" t="s">
        <v>3192</v>
      </c>
      <c r="K182" s="89" t="s">
        <v>3191</v>
      </c>
    </row>
    <row r="183" spans="2:11" x14ac:dyDescent="0.25">
      <c r="B183" s="88">
        <v>178</v>
      </c>
      <c r="C183" s="83" t="s">
        <v>3380</v>
      </c>
      <c r="D183" s="83" t="s">
        <v>3188</v>
      </c>
      <c r="E183" s="83" t="s">
        <v>3187</v>
      </c>
      <c r="F183" s="83" t="s">
        <v>3189</v>
      </c>
      <c r="G183" s="83" t="s">
        <v>3184</v>
      </c>
      <c r="H183" s="83" t="s">
        <v>3180</v>
      </c>
      <c r="I183" s="83" t="s">
        <v>3186</v>
      </c>
      <c r="J183" s="83" t="s">
        <v>3192</v>
      </c>
      <c r="K183" s="89" t="s">
        <v>3191</v>
      </c>
    </row>
    <row r="184" spans="2:11" x14ac:dyDescent="0.25">
      <c r="B184" s="88">
        <v>179</v>
      </c>
      <c r="C184" s="83" t="s">
        <v>3381</v>
      </c>
      <c r="D184" s="83" t="s">
        <v>3188</v>
      </c>
      <c r="E184" s="83" t="s">
        <v>3187</v>
      </c>
      <c r="F184" s="83" t="s">
        <v>3190</v>
      </c>
      <c r="G184" s="83" t="s">
        <v>3184</v>
      </c>
      <c r="H184" s="83" t="s">
        <v>3180</v>
      </c>
      <c r="I184" s="83" t="s">
        <v>3186</v>
      </c>
      <c r="J184" s="83" t="s">
        <v>3192</v>
      </c>
      <c r="K184" s="89" t="s">
        <v>3189</v>
      </c>
    </row>
    <row r="185" spans="2:11" x14ac:dyDescent="0.25">
      <c r="B185" s="88">
        <v>180</v>
      </c>
      <c r="C185" s="83" t="s">
        <v>3382</v>
      </c>
      <c r="D185" s="83" t="s">
        <v>3188</v>
      </c>
      <c r="E185" s="83" t="s">
        <v>3187</v>
      </c>
      <c r="F185" s="83" t="s">
        <v>3190</v>
      </c>
      <c r="G185" s="83" t="s">
        <v>3184</v>
      </c>
      <c r="H185" s="83" t="s">
        <v>3180</v>
      </c>
      <c r="I185" s="83" t="s">
        <v>3186</v>
      </c>
      <c r="J185" s="83" t="s">
        <v>3189</v>
      </c>
      <c r="K185" s="89" t="s">
        <v>3191</v>
      </c>
    </row>
    <row r="186" spans="2:11" x14ac:dyDescent="0.25">
      <c r="B186" s="88">
        <v>181</v>
      </c>
      <c r="C186" s="83" t="s">
        <v>3383</v>
      </c>
      <c r="D186" s="83" t="s">
        <v>3185</v>
      </c>
      <c r="E186" s="83" t="s">
        <v>3190</v>
      </c>
      <c r="F186" s="83" t="s">
        <v>3189</v>
      </c>
      <c r="G186" s="83" t="s">
        <v>3184</v>
      </c>
      <c r="H186" s="83" t="s">
        <v>3180</v>
      </c>
      <c r="I186" s="83" t="s">
        <v>3188</v>
      </c>
      <c r="J186" s="83" t="s">
        <v>3192</v>
      </c>
      <c r="K186" s="89" t="s">
        <v>3191</v>
      </c>
    </row>
    <row r="187" spans="2:11" x14ac:dyDescent="0.25">
      <c r="B187" s="88">
        <v>182</v>
      </c>
      <c r="C187" s="83" t="s">
        <v>3384</v>
      </c>
      <c r="D187" s="83" t="s">
        <v>3185</v>
      </c>
      <c r="E187" s="83" t="s">
        <v>3190</v>
      </c>
      <c r="F187" s="83" t="s">
        <v>3189</v>
      </c>
      <c r="G187" s="83" t="s">
        <v>3184</v>
      </c>
      <c r="H187" s="83" t="s">
        <v>3180</v>
      </c>
      <c r="I187" s="83" t="s">
        <v>3187</v>
      </c>
      <c r="J187" s="83" t="s">
        <v>3192</v>
      </c>
      <c r="K187" s="89" t="s">
        <v>3191</v>
      </c>
    </row>
    <row r="188" spans="2:11" x14ac:dyDescent="0.25">
      <c r="B188" s="88">
        <v>183</v>
      </c>
      <c r="C188" s="83" t="s">
        <v>3385</v>
      </c>
      <c r="D188" s="83" t="s">
        <v>3185</v>
      </c>
      <c r="E188" s="83" t="s">
        <v>3187</v>
      </c>
      <c r="F188" s="83" t="s">
        <v>3190</v>
      </c>
      <c r="G188" s="83" t="s">
        <v>3184</v>
      </c>
      <c r="H188" s="83" t="s">
        <v>3180</v>
      </c>
      <c r="I188" s="83" t="s">
        <v>3188</v>
      </c>
      <c r="J188" s="83" t="s">
        <v>3192</v>
      </c>
      <c r="K188" s="89" t="s">
        <v>3191</v>
      </c>
    </row>
    <row r="189" spans="2:11" x14ac:dyDescent="0.25">
      <c r="B189" s="88">
        <v>184</v>
      </c>
      <c r="C189" s="83" t="s">
        <v>3386</v>
      </c>
      <c r="D189" s="83" t="s">
        <v>3185</v>
      </c>
      <c r="E189" s="83" t="s">
        <v>3187</v>
      </c>
      <c r="F189" s="83" t="s">
        <v>3189</v>
      </c>
      <c r="G189" s="83" t="s">
        <v>3184</v>
      </c>
      <c r="H189" s="83" t="s">
        <v>3180</v>
      </c>
      <c r="I189" s="83" t="s">
        <v>3188</v>
      </c>
      <c r="J189" s="83" t="s">
        <v>3192</v>
      </c>
      <c r="K189" s="89" t="s">
        <v>3191</v>
      </c>
    </row>
    <row r="190" spans="2:11" x14ac:dyDescent="0.25">
      <c r="B190" s="88">
        <v>185</v>
      </c>
      <c r="C190" s="83" t="s">
        <v>3387</v>
      </c>
      <c r="D190" s="83" t="s">
        <v>3185</v>
      </c>
      <c r="E190" s="83" t="s">
        <v>3187</v>
      </c>
      <c r="F190" s="83" t="s">
        <v>3190</v>
      </c>
      <c r="G190" s="83" t="s">
        <v>3184</v>
      </c>
      <c r="H190" s="83" t="s">
        <v>3180</v>
      </c>
      <c r="I190" s="83" t="s">
        <v>3188</v>
      </c>
      <c r="J190" s="83" t="s">
        <v>3192</v>
      </c>
      <c r="K190" s="89" t="s">
        <v>3189</v>
      </c>
    </row>
    <row r="191" spans="2:11" x14ac:dyDescent="0.25">
      <c r="B191" s="88">
        <v>186</v>
      </c>
      <c r="C191" s="83" t="s">
        <v>3388</v>
      </c>
      <c r="D191" s="83" t="s">
        <v>3185</v>
      </c>
      <c r="E191" s="83" t="s">
        <v>3187</v>
      </c>
      <c r="F191" s="83" t="s">
        <v>3190</v>
      </c>
      <c r="G191" s="83" t="s">
        <v>3184</v>
      </c>
      <c r="H191" s="83" t="s">
        <v>3180</v>
      </c>
      <c r="I191" s="83" t="s">
        <v>3188</v>
      </c>
      <c r="J191" s="83" t="s">
        <v>3189</v>
      </c>
      <c r="K191" s="89" t="s">
        <v>3191</v>
      </c>
    </row>
    <row r="192" spans="2:11" x14ac:dyDescent="0.25">
      <c r="B192" s="88">
        <v>187</v>
      </c>
      <c r="C192" s="83" t="s">
        <v>3389</v>
      </c>
      <c r="D192" s="83" t="s">
        <v>3185</v>
      </c>
      <c r="E192" s="83" t="s">
        <v>3190</v>
      </c>
      <c r="F192" s="83" t="s">
        <v>3189</v>
      </c>
      <c r="G192" s="83" t="s">
        <v>3184</v>
      </c>
      <c r="H192" s="83" t="s">
        <v>3180</v>
      </c>
      <c r="I192" s="83" t="s">
        <v>3186</v>
      </c>
      <c r="J192" s="83" t="s">
        <v>3192</v>
      </c>
      <c r="K192" s="89" t="s">
        <v>3191</v>
      </c>
    </row>
    <row r="193" spans="2:11" x14ac:dyDescent="0.25">
      <c r="B193" s="88">
        <v>188</v>
      </c>
      <c r="C193" s="83" t="s">
        <v>3390</v>
      </c>
      <c r="D193" s="83" t="s">
        <v>3188</v>
      </c>
      <c r="E193" s="83" t="s">
        <v>3190</v>
      </c>
      <c r="F193" s="83" t="s">
        <v>3185</v>
      </c>
      <c r="G193" s="83" t="s">
        <v>3184</v>
      </c>
      <c r="H193" s="83" t="s">
        <v>3180</v>
      </c>
      <c r="I193" s="83" t="s">
        <v>3186</v>
      </c>
      <c r="J193" s="83" t="s">
        <v>3192</v>
      </c>
      <c r="K193" s="89" t="s">
        <v>3191</v>
      </c>
    </row>
    <row r="194" spans="2:11" x14ac:dyDescent="0.25">
      <c r="B194" s="88">
        <v>189</v>
      </c>
      <c r="C194" s="83" t="s">
        <v>3391</v>
      </c>
      <c r="D194" s="83" t="s">
        <v>3188</v>
      </c>
      <c r="E194" s="83" t="s">
        <v>3185</v>
      </c>
      <c r="F194" s="83" t="s">
        <v>3189</v>
      </c>
      <c r="G194" s="83" t="s">
        <v>3184</v>
      </c>
      <c r="H194" s="83" t="s">
        <v>3180</v>
      </c>
      <c r="I194" s="83" t="s">
        <v>3186</v>
      </c>
      <c r="J194" s="83" t="s">
        <v>3192</v>
      </c>
      <c r="K194" s="89" t="s">
        <v>3191</v>
      </c>
    </row>
    <row r="195" spans="2:11" x14ac:dyDescent="0.25">
      <c r="B195" s="88">
        <v>190</v>
      </c>
      <c r="C195" s="83" t="s">
        <v>3392</v>
      </c>
      <c r="D195" s="83" t="s">
        <v>3188</v>
      </c>
      <c r="E195" s="83" t="s">
        <v>3190</v>
      </c>
      <c r="F195" s="83" t="s">
        <v>3185</v>
      </c>
      <c r="G195" s="83" t="s">
        <v>3184</v>
      </c>
      <c r="H195" s="83" t="s">
        <v>3180</v>
      </c>
      <c r="I195" s="83" t="s">
        <v>3186</v>
      </c>
      <c r="J195" s="83" t="s">
        <v>3192</v>
      </c>
      <c r="K195" s="89" t="s">
        <v>3189</v>
      </c>
    </row>
    <row r="196" spans="2:11" x14ac:dyDescent="0.25">
      <c r="B196" s="88">
        <v>191</v>
      </c>
      <c r="C196" s="83" t="s">
        <v>3393</v>
      </c>
      <c r="D196" s="83" t="s">
        <v>3188</v>
      </c>
      <c r="E196" s="83" t="s">
        <v>3190</v>
      </c>
      <c r="F196" s="83" t="s">
        <v>3185</v>
      </c>
      <c r="G196" s="83" t="s">
        <v>3184</v>
      </c>
      <c r="H196" s="83" t="s">
        <v>3180</v>
      </c>
      <c r="I196" s="83" t="s">
        <v>3186</v>
      </c>
      <c r="J196" s="83" t="s">
        <v>3189</v>
      </c>
      <c r="K196" s="89" t="s">
        <v>3191</v>
      </c>
    </row>
    <row r="197" spans="2:11" x14ac:dyDescent="0.25">
      <c r="B197" s="88">
        <v>192</v>
      </c>
      <c r="C197" s="83" t="s">
        <v>3394</v>
      </c>
      <c r="D197" s="83" t="s">
        <v>3185</v>
      </c>
      <c r="E197" s="83" t="s">
        <v>3187</v>
      </c>
      <c r="F197" s="83" t="s">
        <v>3190</v>
      </c>
      <c r="G197" s="83" t="s">
        <v>3184</v>
      </c>
      <c r="H197" s="83" t="s">
        <v>3180</v>
      </c>
      <c r="I197" s="83" t="s">
        <v>3186</v>
      </c>
      <c r="J197" s="83" t="s">
        <v>3192</v>
      </c>
      <c r="K197" s="89" t="s">
        <v>3191</v>
      </c>
    </row>
    <row r="198" spans="2:11" x14ac:dyDescent="0.25">
      <c r="B198" s="88">
        <v>193</v>
      </c>
      <c r="C198" s="83" t="s">
        <v>3395</v>
      </c>
      <c r="D198" s="83" t="s">
        <v>3185</v>
      </c>
      <c r="E198" s="83" t="s">
        <v>3187</v>
      </c>
      <c r="F198" s="83" t="s">
        <v>3189</v>
      </c>
      <c r="G198" s="83" t="s">
        <v>3184</v>
      </c>
      <c r="H198" s="83" t="s">
        <v>3180</v>
      </c>
      <c r="I198" s="83" t="s">
        <v>3186</v>
      </c>
      <c r="J198" s="83" t="s">
        <v>3192</v>
      </c>
      <c r="K198" s="89" t="s">
        <v>3191</v>
      </c>
    </row>
    <row r="199" spans="2:11" x14ac:dyDescent="0.25">
      <c r="B199" s="88">
        <v>194</v>
      </c>
      <c r="C199" s="83" t="s">
        <v>3396</v>
      </c>
      <c r="D199" s="83" t="s">
        <v>3185</v>
      </c>
      <c r="E199" s="83" t="s">
        <v>3187</v>
      </c>
      <c r="F199" s="83" t="s">
        <v>3190</v>
      </c>
      <c r="G199" s="83" t="s">
        <v>3184</v>
      </c>
      <c r="H199" s="83" t="s">
        <v>3180</v>
      </c>
      <c r="I199" s="83" t="s">
        <v>3186</v>
      </c>
      <c r="J199" s="83" t="s">
        <v>3192</v>
      </c>
      <c r="K199" s="89" t="s">
        <v>3189</v>
      </c>
    </row>
    <row r="200" spans="2:11" x14ac:dyDescent="0.25">
      <c r="B200" s="88">
        <v>195</v>
      </c>
      <c r="C200" s="83" t="s">
        <v>3397</v>
      </c>
      <c r="D200" s="83" t="s">
        <v>3185</v>
      </c>
      <c r="E200" s="83" t="s">
        <v>3187</v>
      </c>
      <c r="F200" s="83" t="s">
        <v>3190</v>
      </c>
      <c r="G200" s="83" t="s">
        <v>3184</v>
      </c>
      <c r="H200" s="83" t="s">
        <v>3180</v>
      </c>
      <c r="I200" s="83" t="s">
        <v>3186</v>
      </c>
      <c r="J200" s="83" t="s">
        <v>3189</v>
      </c>
      <c r="K200" s="89" t="s">
        <v>3191</v>
      </c>
    </row>
    <row r="201" spans="2:11" x14ac:dyDescent="0.25">
      <c r="B201" s="88">
        <v>196</v>
      </c>
      <c r="C201" s="83" t="s">
        <v>3398</v>
      </c>
      <c r="D201" s="83" t="s">
        <v>3188</v>
      </c>
      <c r="E201" s="83" t="s">
        <v>3187</v>
      </c>
      <c r="F201" s="83" t="s">
        <v>3185</v>
      </c>
      <c r="G201" s="83" t="s">
        <v>3184</v>
      </c>
      <c r="H201" s="83" t="s">
        <v>3180</v>
      </c>
      <c r="I201" s="83" t="s">
        <v>3186</v>
      </c>
      <c r="J201" s="83" t="s">
        <v>3192</v>
      </c>
      <c r="K201" s="89" t="s">
        <v>3191</v>
      </c>
    </row>
    <row r="202" spans="2:11" x14ac:dyDescent="0.25">
      <c r="B202" s="88">
        <v>197</v>
      </c>
      <c r="C202" s="83" t="s">
        <v>3399</v>
      </c>
      <c r="D202" s="83" t="s">
        <v>3188</v>
      </c>
      <c r="E202" s="83" t="s">
        <v>3187</v>
      </c>
      <c r="F202" s="83" t="s">
        <v>3190</v>
      </c>
      <c r="G202" s="83" t="s">
        <v>3184</v>
      </c>
      <c r="H202" s="83" t="s">
        <v>3180</v>
      </c>
      <c r="I202" s="83" t="s">
        <v>3186</v>
      </c>
      <c r="J202" s="83" t="s">
        <v>3192</v>
      </c>
      <c r="K202" s="89" t="s">
        <v>3185</v>
      </c>
    </row>
    <row r="203" spans="2:11" x14ac:dyDescent="0.25">
      <c r="B203" s="88">
        <v>198</v>
      </c>
      <c r="C203" s="83" t="s">
        <v>3400</v>
      </c>
      <c r="D203" s="83" t="s">
        <v>3188</v>
      </c>
      <c r="E203" s="83" t="s">
        <v>3187</v>
      </c>
      <c r="F203" s="83" t="s">
        <v>3190</v>
      </c>
      <c r="G203" s="83" t="s">
        <v>3184</v>
      </c>
      <c r="H203" s="83" t="s">
        <v>3180</v>
      </c>
      <c r="I203" s="83" t="s">
        <v>3186</v>
      </c>
      <c r="J203" s="83" t="s">
        <v>3185</v>
      </c>
      <c r="K203" s="89" t="s">
        <v>3191</v>
      </c>
    </row>
    <row r="204" spans="2:11" x14ac:dyDescent="0.25">
      <c r="B204" s="88">
        <v>199</v>
      </c>
      <c r="C204" s="83" t="s">
        <v>3401</v>
      </c>
      <c r="D204" s="83" t="s">
        <v>3188</v>
      </c>
      <c r="E204" s="83" t="s">
        <v>3187</v>
      </c>
      <c r="F204" s="83" t="s">
        <v>3185</v>
      </c>
      <c r="G204" s="83" t="s">
        <v>3184</v>
      </c>
      <c r="H204" s="83" t="s">
        <v>3180</v>
      </c>
      <c r="I204" s="83" t="s">
        <v>3186</v>
      </c>
      <c r="J204" s="83" t="s">
        <v>3192</v>
      </c>
      <c r="K204" s="89" t="s">
        <v>3189</v>
      </c>
    </row>
    <row r="205" spans="2:11" x14ac:dyDescent="0.25">
      <c r="B205" s="88">
        <v>200</v>
      </c>
      <c r="C205" s="83" t="s">
        <v>3402</v>
      </c>
      <c r="D205" s="83" t="s">
        <v>3188</v>
      </c>
      <c r="E205" s="83" t="s">
        <v>3187</v>
      </c>
      <c r="F205" s="83" t="s">
        <v>3185</v>
      </c>
      <c r="G205" s="83" t="s">
        <v>3184</v>
      </c>
      <c r="H205" s="83" t="s">
        <v>3180</v>
      </c>
      <c r="I205" s="83" t="s">
        <v>3186</v>
      </c>
      <c r="J205" s="83" t="s">
        <v>3189</v>
      </c>
      <c r="K205" s="89" t="s">
        <v>3191</v>
      </c>
    </row>
    <row r="206" spans="2:11" x14ac:dyDescent="0.25">
      <c r="B206" s="88">
        <v>201</v>
      </c>
      <c r="C206" s="83" t="s">
        <v>3403</v>
      </c>
      <c r="D206" s="83" t="s">
        <v>3188</v>
      </c>
      <c r="E206" s="83" t="s">
        <v>3187</v>
      </c>
      <c r="F206" s="83" t="s">
        <v>3190</v>
      </c>
      <c r="G206" s="83" t="s">
        <v>3184</v>
      </c>
      <c r="H206" s="83" t="s">
        <v>3180</v>
      </c>
      <c r="I206" s="83" t="s">
        <v>3186</v>
      </c>
      <c r="J206" s="83" t="s">
        <v>3185</v>
      </c>
      <c r="K206" s="89" t="s">
        <v>3189</v>
      </c>
    </row>
    <row r="207" spans="2:11" x14ac:dyDescent="0.25">
      <c r="B207" s="88">
        <v>202</v>
      </c>
      <c r="C207" s="83" t="s">
        <v>3404</v>
      </c>
      <c r="D207" s="83" t="s">
        <v>3188</v>
      </c>
      <c r="E207" s="83" t="s">
        <v>3190</v>
      </c>
      <c r="F207" s="83" t="s">
        <v>3189</v>
      </c>
      <c r="G207" s="83" t="s">
        <v>3182</v>
      </c>
      <c r="H207" s="83" t="s">
        <v>3180</v>
      </c>
      <c r="I207" s="83" t="s">
        <v>3187</v>
      </c>
      <c r="J207" s="83" t="s">
        <v>3192</v>
      </c>
      <c r="K207" s="89" t="s">
        <v>3191</v>
      </c>
    </row>
    <row r="208" spans="2:11" x14ac:dyDescent="0.25">
      <c r="B208" s="88">
        <v>203</v>
      </c>
      <c r="C208" s="83" t="s">
        <v>3405</v>
      </c>
      <c r="D208" s="83" t="s">
        <v>3188</v>
      </c>
      <c r="E208" s="83" t="s">
        <v>3190</v>
      </c>
      <c r="F208" s="83" t="s">
        <v>3189</v>
      </c>
      <c r="G208" s="83" t="s">
        <v>3182</v>
      </c>
      <c r="H208" s="83" t="s">
        <v>3180</v>
      </c>
      <c r="I208" s="83" t="s">
        <v>3186</v>
      </c>
      <c r="J208" s="83" t="s">
        <v>3192</v>
      </c>
      <c r="K208" s="89" t="s">
        <v>3191</v>
      </c>
    </row>
    <row r="209" spans="2:11" x14ac:dyDescent="0.25">
      <c r="B209" s="88">
        <v>204</v>
      </c>
      <c r="C209" s="83" t="s">
        <v>3406</v>
      </c>
      <c r="D209" s="83" t="s">
        <v>3189</v>
      </c>
      <c r="E209" s="83" t="s">
        <v>3187</v>
      </c>
      <c r="F209" s="83" t="s">
        <v>3190</v>
      </c>
      <c r="G209" s="83" t="s">
        <v>3182</v>
      </c>
      <c r="H209" s="83" t="s">
        <v>3180</v>
      </c>
      <c r="I209" s="83" t="s">
        <v>3186</v>
      </c>
      <c r="J209" s="83" t="s">
        <v>3192</v>
      </c>
      <c r="K209" s="89" t="s">
        <v>3191</v>
      </c>
    </row>
    <row r="210" spans="2:11" x14ac:dyDescent="0.25">
      <c r="B210" s="88">
        <v>205</v>
      </c>
      <c r="C210" s="83" t="s">
        <v>3407</v>
      </c>
      <c r="D210" s="83" t="s">
        <v>3188</v>
      </c>
      <c r="E210" s="83" t="s">
        <v>3187</v>
      </c>
      <c r="F210" s="83" t="s">
        <v>3190</v>
      </c>
      <c r="G210" s="83" t="s">
        <v>3182</v>
      </c>
      <c r="H210" s="83" t="s">
        <v>3180</v>
      </c>
      <c r="I210" s="83" t="s">
        <v>3186</v>
      </c>
      <c r="J210" s="83" t="s">
        <v>3192</v>
      </c>
      <c r="K210" s="89" t="s">
        <v>3191</v>
      </c>
    </row>
    <row r="211" spans="2:11" x14ac:dyDescent="0.25">
      <c r="B211" s="88">
        <v>206</v>
      </c>
      <c r="C211" s="83" t="s">
        <v>3408</v>
      </c>
      <c r="D211" s="83" t="s">
        <v>3188</v>
      </c>
      <c r="E211" s="83" t="s">
        <v>3187</v>
      </c>
      <c r="F211" s="83" t="s">
        <v>3189</v>
      </c>
      <c r="G211" s="83" t="s">
        <v>3182</v>
      </c>
      <c r="H211" s="83" t="s">
        <v>3180</v>
      </c>
      <c r="I211" s="83" t="s">
        <v>3186</v>
      </c>
      <c r="J211" s="83" t="s">
        <v>3192</v>
      </c>
      <c r="K211" s="89" t="s">
        <v>3191</v>
      </c>
    </row>
    <row r="212" spans="2:11" x14ac:dyDescent="0.25">
      <c r="B212" s="88">
        <v>207</v>
      </c>
      <c r="C212" s="83" t="s">
        <v>3409</v>
      </c>
      <c r="D212" s="83" t="s">
        <v>3188</v>
      </c>
      <c r="E212" s="83" t="s">
        <v>3187</v>
      </c>
      <c r="F212" s="83" t="s">
        <v>3190</v>
      </c>
      <c r="G212" s="83" t="s">
        <v>3182</v>
      </c>
      <c r="H212" s="83" t="s">
        <v>3180</v>
      </c>
      <c r="I212" s="83" t="s">
        <v>3186</v>
      </c>
      <c r="J212" s="83" t="s">
        <v>3192</v>
      </c>
      <c r="K212" s="89" t="s">
        <v>3189</v>
      </c>
    </row>
    <row r="213" spans="2:11" x14ac:dyDescent="0.25">
      <c r="B213" s="88">
        <v>208</v>
      </c>
      <c r="C213" s="83" t="s">
        <v>3410</v>
      </c>
      <c r="D213" s="83" t="s">
        <v>3188</v>
      </c>
      <c r="E213" s="83" t="s">
        <v>3187</v>
      </c>
      <c r="F213" s="83" t="s">
        <v>3190</v>
      </c>
      <c r="G213" s="83" t="s">
        <v>3182</v>
      </c>
      <c r="H213" s="83" t="s">
        <v>3180</v>
      </c>
      <c r="I213" s="83" t="s">
        <v>3186</v>
      </c>
      <c r="J213" s="83" t="s">
        <v>3189</v>
      </c>
      <c r="K213" s="89" t="s">
        <v>3191</v>
      </c>
    </row>
    <row r="214" spans="2:11" x14ac:dyDescent="0.25">
      <c r="B214" s="88">
        <v>209</v>
      </c>
      <c r="C214" s="83" t="s">
        <v>3411</v>
      </c>
      <c r="D214" s="83" t="s">
        <v>3185</v>
      </c>
      <c r="E214" s="83" t="s">
        <v>3190</v>
      </c>
      <c r="F214" s="83" t="s">
        <v>3189</v>
      </c>
      <c r="G214" s="83" t="s">
        <v>3182</v>
      </c>
      <c r="H214" s="83" t="s">
        <v>3180</v>
      </c>
      <c r="I214" s="83" t="s">
        <v>3188</v>
      </c>
      <c r="J214" s="83" t="s">
        <v>3192</v>
      </c>
      <c r="K214" s="89" t="s">
        <v>3191</v>
      </c>
    </row>
    <row r="215" spans="2:11" x14ac:dyDescent="0.25">
      <c r="B215" s="88">
        <v>210</v>
      </c>
      <c r="C215" s="83" t="s">
        <v>3412</v>
      </c>
      <c r="D215" s="83" t="s">
        <v>3185</v>
      </c>
      <c r="E215" s="83" t="s">
        <v>3190</v>
      </c>
      <c r="F215" s="83" t="s">
        <v>3189</v>
      </c>
      <c r="G215" s="83" t="s">
        <v>3182</v>
      </c>
      <c r="H215" s="83" t="s">
        <v>3180</v>
      </c>
      <c r="I215" s="83" t="s">
        <v>3187</v>
      </c>
      <c r="J215" s="83" t="s">
        <v>3192</v>
      </c>
      <c r="K215" s="89" t="s">
        <v>3191</v>
      </c>
    </row>
    <row r="216" spans="2:11" x14ac:dyDescent="0.25">
      <c r="B216" s="88">
        <v>211</v>
      </c>
      <c r="C216" s="83" t="s">
        <v>3413</v>
      </c>
      <c r="D216" s="83" t="s">
        <v>3185</v>
      </c>
      <c r="E216" s="83" t="s">
        <v>3187</v>
      </c>
      <c r="F216" s="83" t="s">
        <v>3190</v>
      </c>
      <c r="G216" s="83" t="s">
        <v>3182</v>
      </c>
      <c r="H216" s="83" t="s">
        <v>3180</v>
      </c>
      <c r="I216" s="83" t="s">
        <v>3188</v>
      </c>
      <c r="J216" s="83" t="s">
        <v>3192</v>
      </c>
      <c r="K216" s="89" t="s">
        <v>3191</v>
      </c>
    </row>
    <row r="217" spans="2:11" x14ac:dyDescent="0.25">
      <c r="B217" s="88">
        <v>212</v>
      </c>
      <c r="C217" s="83" t="s">
        <v>3414</v>
      </c>
      <c r="D217" s="83" t="s">
        <v>3185</v>
      </c>
      <c r="E217" s="83" t="s">
        <v>3187</v>
      </c>
      <c r="F217" s="83" t="s">
        <v>3189</v>
      </c>
      <c r="G217" s="83" t="s">
        <v>3182</v>
      </c>
      <c r="H217" s="83" t="s">
        <v>3180</v>
      </c>
      <c r="I217" s="83" t="s">
        <v>3188</v>
      </c>
      <c r="J217" s="83" t="s">
        <v>3192</v>
      </c>
      <c r="K217" s="89" t="s">
        <v>3191</v>
      </c>
    </row>
    <row r="218" spans="2:11" x14ac:dyDescent="0.25">
      <c r="B218" s="88">
        <v>213</v>
      </c>
      <c r="C218" s="83" t="s">
        <v>3415</v>
      </c>
      <c r="D218" s="83" t="s">
        <v>3185</v>
      </c>
      <c r="E218" s="83" t="s">
        <v>3187</v>
      </c>
      <c r="F218" s="83" t="s">
        <v>3190</v>
      </c>
      <c r="G218" s="83" t="s">
        <v>3182</v>
      </c>
      <c r="H218" s="83" t="s">
        <v>3180</v>
      </c>
      <c r="I218" s="83" t="s">
        <v>3188</v>
      </c>
      <c r="J218" s="83" t="s">
        <v>3192</v>
      </c>
      <c r="K218" s="89" t="s">
        <v>3189</v>
      </c>
    </row>
    <row r="219" spans="2:11" x14ac:dyDescent="0.25">
      <c r="B219" s="88">
        <v>214</v>
      </c>
      <c r="C219" s="83" t="s">
        <v>3416</v>
      </c>
      <c r="D219" s="83" t="s">
        <v>3185</v>
      </c>
      <c r="E219" s="83" t="s">
        <v>3187</v>
      </c>
      <c r="F219" s="83" t="s">
        <v>3190</v>
      </c>
      <c r="G219" s="83" t="s">
        <v>3182</v>
      </c>
      <c r="H219" s="83" t="s">
        <v>3180</v>
      </c>
      <c r="I219" s="83" t="s">
        <v>3188</v>
      </c>
      <c r="J219" s="83" t="s">
        <v>3189</v>
      </c>
      <c r="K219" s="89" t="s">
        <v>3191</v>
      </c>
    </row>
    <row r="220" spans="2:11" x14ac:dyDescent="0.25">
      <c r="B220" s="88">
        <v>215</v>
      </c>
      <c r="C220" s="83" t="s">
        <v>3417</v>
      </c>
      <c r="D220" s="83" t="s">
        <v>3185</v>
      </c>
      <c r="E220" s="83" t="s">
        <v>3190</v>
      </c>
      <c r="F220" s="83" t="s">
        <v>3189</v>
      </c>
      <c r="G220" s="83" t="s">
        <v>3182</v>
      </c>
      <c r="H220" s="83" t="s">
        <v>3180</v>
      </c>
      <c r="I220" s="83" t="s">
        <v>3186</v>
      </c>
      <c r="J220" s="83" t="s">
        <v>3192</v>
      </c>
      <c r="K220" s="89" t="s">
        <v>3191</v>
      </c>
    </row>
    <row r="221" spans="2:11" x14ac:dyDescent="0.25">
      <c r="B221" s="88">
        <v>216</v>
      </c>
      <c r="C221" s="83" t="s">
        <v>3418</v>
      </c>
      <c r="D221" s="83" t="s">
        <v>3188</v>
      </c>
      <c r="E221" s="83" t="s">
        <v>3190</v>
      </c>
      <c r="F221" s="83" t="s">
        <v>3185</v>
      </c>
      <c r="G221" s="83" t="s">
        <v>3182</v>
      </c>
      <c r="H221" s="83" t="s">
        <v>3180</v>
      </c>
      <c r="I221" s="83" t="s">
        <v>3186</v>
      </c>
      <c r="J221" s="83" t="s">
        <v>3192</v>
      </c>
      <c r="K221" s="89" t="s">
        <v>3191</v>
      </c>
    </row>
    <row r="222" spans="2:11" x14ac:dyDescent="0.25">
      <c r="B222" s="88">
        <v>217</v>
      </c>
      <c r="C222" s="83" t="s">
        <v>3419</v>
      </c>
      <c r="D222" s="83" t="s">
        <v>3188</v>
      </c>
      <c r="E222" s="83" t="s">
        <v>3185</v>
      </c>
      <c r="F222" s="83" t="s">
        <v>3189</v>
      </c>
      <c r="G222" s="83" t="s">
        <v>3182</v>
      </c>
      <c r="H222" s="83" t="s">
        <v>3180</v>
      </c>
      <c r="I222" s="83" t="s">
        <v>3186</v>
      </c>
      <c r="J222" s="83" t="s">
        <v>3192</v>
      </c>
      <c r="K222" s="89" t="s">
        <v>3191</v>
      </c>
    </row>
    <row r="223" spans="2:11" x14ac:dyDescent="0.25">
      <c r="B223" s="88">
        <v>218</v>
      </c>
      <c r="C223" s="83" t="s">
        <v>3420</v>
      </c>
      <c r="D223" s="83" t="s">
        <v>3188</v>
      </c>
      <c r="E223" s="83" t="s">
        <v>3190</v>
      </c>
      <c r="F223" s="83" t="s">
        <v>3185</v>
      </c>
      <c r="G223" s="83" t="s">
        <v>3182</v>
      </c>
      <c r="H223" s="83" t="s">
        <v>3180</v>
      </c>
      <c r="I223" s="83" t="s">
        <v>3186</v>
      </c>
      <c r="J223" s="83" t="s">
        <v>3192</v>
      </c>
      <c r="K223" s="89" t="s">
        <v>3189</v>
      </c>
    </row>
    <row r="224" spans="2:11" x14ac:dyDescent="0.25">
      <c r="B224" s="88">
        <v>219</v>
      </c>
      <c r="C224" s="83" t="s">
        <v>3421</v>
      </c>
      <c r="D224" s="83" t="s">
        <v>3188</v>
      </c>
      <c r="E224" s="83" t="s">
        <v>3190</v>
      </c>
      <c r="F224" s="83" t="s">
        <v>3185</v>
      </c>
      <c r="G224" s="83" t="s">
        <v>3182</v>
      </c>
      <c r="H224" s="83" t="s">
        <v>3180</v>
      </c>
      <c r="I224" s="83" t="s">
        <v>3186</v>
      </c>
      <c r="J224" s="83" t="s">
        <v>3189</v>
      </c>
      <c r="K224" s="89" t="s">
        <v>3191</v>
      </c>
    </row>
    <row r="225" spans="2:11" x14ac:dyDescent="0.25">
      <c r="B225" s="88">
        <v>220</v>
      </c>
      <c r="C225" s="83" t="s">
        <v>3422</v>
      </c>
      <c r="D225" s="83" t="s">
        <v>3185</v>
      </c>
      <c r="E225" s="83" t="s">
        <v>3187</v>
      </c>
      <c r="F225" s="83" t="s">
        <v>3190</v>
      </c>
      <c r="G225" s="83" t="s">
        <v>3182</v>
      </c>
      <c r="H225" s="83" t="s">
        <v>3180</v>
      </c>
      <c r="I225" s="83" t="s">
        <v>3186</v>
      </c>
      <c r="J225" s="83" t="s">
        <v>3192</v>
      </c>
      <c r="K225" s="89" t="s">
        <v>3191</v>
      </c>
    </row>
    <row r="226" spans="2:11" x14ac:dyDescent="0.25">
      <c r="B226" s="88">
        <v>221</v>
      </c>
      <c r="C226" s="83" t="s">
        <v>3423</v>
      </c>
      <c r="D226" s="83" t="s">
        <v>3185</v>
      </c>
      <c r="E226" s="83" t="s">
        <v>3187</v>
      </c>
      <c r="F226" s="83" t="s">
        <v>3189</v>
      </c>
      <c r="G226" s="83" t="s">
        <v>3182</v>
      </c>
      <c r="H226" s="83" t="s">
        <v>3180</v>
      </c>
      <c r="I226" s="83" t="s">
        <v>3186</v>
      </c>
      <c r="J226" s="83" t="s">
        <v>3192</v>
      </c>
      <c r="K226" s="89" t="s">
        <v>3191</v>
      </c>
    </row>
    <row r="227" spans="2:11" x14ac:dyDescent="0.25">
      <c r="B227" s="88">
        <v>222</v>
      </c>
      <c r="C227" s="83" t="s">
        <v>3424</v>
      </c>
      <c r="D227" s="83" t="s">
        <v>3185</v>
      </c>
      <c r="E227" s="83" t="s">
        <v>3187</v>
      </c>
      <c r="F227" s="83" t="s">
        <v>3190</v>
      </c>
      <c r="G227" s="83" t="s">
        <v>3182</v>
      </c>
      <c r="H227" s="83" t="s">
        <v>3180</v>
      </c>
      <c r="I227" s="83" t="s">
        <v>3186</v>
      </c>
      <c r="J227" s="83" t="s">
        <v>3192</v>
      </c>
      <c r="K227" s="89" t="s">
        <v>3189</v>
      </c>
    </row>
    <row r="228" spans="2:11" x14ac:dyDescent="0.25">
      <c r="B228" s="88">
        <v>223</v>
      </c>
      <c r="C228" s="83" t="s">
        <v>3425</v>
      </c>
      <c r="D228" s="83" t="s">
        <v>3185</v>
      </c>
      <c r="E228" s="83" t="s">
        <v>3187</v>
      </c>
      <c r="F228" s="83" t="s">
        <v>3190</v>
      </c>
      <c r="G228" s="83" t="s">
        <v>3182</v>
      </c>
      <c r="H228" s="83" t="s">
        <v>3180</v>
      </c>
      <c r="I228" s="83" t="s">
        <v>3186</v>
      </c>
      <c r="J228" s="83" t="s">
        <v>3189</v>
      </c>
      <c r="K228" s="89" t="s">
        <v>3191</v>
      </c>
    </row>
    <row r="229" spans="2:11" x14ac:dyDescent="0.25">
      <c r="B229" s="88">
        <v>224</v>
      </c>
      <c r="C229" s="83" t="s">
        <v>3426</v>
      </c>
      <c r="D229" s="83" t="s">
        <v>3188</v>
      </c>
      <c r="E229" s="83" t="s">
        <v>3187</v>
      </c>
      <c r="F229" s="83" t="s">
        <v>3185</v>
      </c>
      <c r="G229" s="83" t="s">
        <v>3182</v>
      </c>
      <c r="H229" s="83" t="s">
        <v>3180</v>
      </c>
      <c r="I229" s="83" t="s">
        <v>3186</v>
      </c>
      <c r="J229" s="83" t="s">
        <v>3192</v>
      </c>
      <c r="K229" s="89" t="s">
        <v>3191</v>
      </c>
    </row>
    <row r="230" spans="2:11" x14ac:dyDescent="0.25">
      <c r="B230" s="88">
        <v>225</v>
      </c>
      <c r="C230" s="83" t="s">
        <v>3427</v>
      </c>
      <c r="D230" s="83" t="s">
        <v>3188</v>
      </c>
      <c r="E230" s="83" t="s">
        <v>3187</v>
      </c>
      <c r="F230" s="83" t="s">
        <v>3190</v>
      </c>
      <c r="G230" s="83" t="s">
        <v>3182</v>
      </c>
      <c r="H230" s="83" t="s">
        <v>3180</v>
      </c>
      <c r="I230" s="83" t="s">
        <v>3186</v>
      </c>
      <c r="J230" s="83" t="s">
        <v>3192</v>
      </c>
      <c r="K230" s="89" t="s">
        <v>3185</v>
      </c>
    </row>
    <row r="231" spans="2:11" x14ac:dyDescent="0.25">
      <c r="B231" s="88">
        <v>226</v>
      </c>
      <c r="C231" s="83" t="s">
        <v>3428</v>
      </c>
      <c r="D231" s="83" t="s">
        <v>3188</v>
      </c>
      <c r="E231" s="83" t="s">
        <v>3187</v>
      </c>
      <c r="F231" s="83" t="s">
        <v>3190</v>
      </c>
      <c r="G231" s="83" t="s">
        <v>3182</v>
      </c>
      <c r="H231" s="83" t="s">
        <v>3180</v>
      </c>
      <c r="I231" s="83" t="s">
        <v>3186</v>
      </c>
      <c r="J231" s="83" t="s">
        <v>3185</v>
      </c>
      <c r="K231" s="89" t="s">
        <v>3191</v>
      </c>
    </row>
    <row r="232" spans="2:11" x14ac:dyDescent="0.25">
      <c r="B232" s="88">
        <v>227</v>
      </c>
      <c r="C232" s="83" t="s">
        <v>3429</v>
      </c>
      <c r="D232" s="83" t="s">
        <v>3188</v>
      </c>
      <c r="E232" s="83" t="s">
        <v>3187</v>
      </c>
      <c r="F232" s="83" t="s">
        <v>3185</v>
      </c>
      <c r="G232" s="83" t="s">
        <v>3182</v>
      </c>
      <c r="H232" s="83" t="s">
        <v>3180</v>
      </c>
      <c r="I232" s="83" t="s">
        <v>3186</v>
      </c>
      <c r="J232" s="83" t="s">
        <v>3192</v>
      </c>
      <c r="K232" s="89" t="s">
        <v>3189</v>
      </c>
    </row>
    <row r="233" spans="2:11" x14ac:dyDescent="0.25">
      <c r="B233" s="88">
        <v>228</v>
      </c>
      <c r="C233" s="83" t="s">
        <v>3430</v>
      </c>
      <c r="D233" s="83" t="s">
        <v>3188</v>
      </c>
      <c r="E233" s="83" t="s">
        <v>3187</v>
      </c>
      <c r="F233" s="83" t="s">
        <v>3185</v>
      </c>
      <c r="G233" s="83" t="s">
        <v>3182</v>
      </c>
      <c r="H233" s="83" t="s">
        <v>3180</v>
      </c>
      <c r="I233" s="83" t="s">
        <v>3186</v>
      </c>
      <c r="J233" s="83" t="s">
        <v>3189</v>
      </c>
      <c r="K233" s="89" t="s">
        <v>3191</v>
      </c>
    </row>
    <row r="234" spans="2:11" x14ac:dyDescent="0.25">
      <c r="B234" s="88">
        <v>229</v>
      </c>
      <c r="C234" s="83" t="s">
        <v>3431</v>
      </c>
      <c r="D234" s="83" t="s">
        <v>3188</v>
      </c>
      <c r="E234" s="83" t="s">
        <v>3187</v>
      </c>
      <c r="F234" s="83" t="s">
        <v>3190</v>
      </c>
      <c r="G234" s="83" t="s">
        <v>3182</v>
      </c>
      <c r="H234" s="83" t="s">
        <v>3180</v>
      </c>
      <c r="I234" s="83" t="s">
        <v>3186</v>
      </c>
      <c r="J234" s="83" t="s">
        <v>3185</v>
      </c>
      <c r="K234" s="89" t="s">
        <v>3189</v>
      </c>
    </row>
    <row r="235" spans="2:11" x14ac:dyDescent="0.25">
      <c r="B235" s="88">
        <v>230</v>
      </c>
      <c r="C235" s="83" t="s">
        <v>3432</v>
      </c>
      <c r="D235" s="83" t="s">
        <v>3188</v>
      </c>
      <c r="E235" s="83" t="s">
        <v>3190</v>
      </c>
      <c r="F235" s="83" t="s">
        <v>3189</v>
      </c>
      <c r="G235" s="83" t="s">
        <v>3182</v>
      </c>
      <c r="H235" s="83" t="s">
        <v>3180</v>
      </c>
      <c r="I235" s="83" t="s">
        <v>3184</v>
      </c>
      <c r="J235" s="83" t="s">
        <v>3192</v>
      </c>
      <c r="K235" s="89" t="s">
        <v>3191</v>
      </c>
    </row>
    <row r="236" spans="2:11" x14ac:dyDescent="0.25">
      <c r="B236" s="88">
        <v>231</v>
      </c>
      <c r="C236" s="83" t="s">
        <v>3433</v>
      </c>
      <c r="D236" s="83" t="s">
        <v>3189</v>
      </c>
      <c r="E236" s="83" t="s">
        <v>3187</v>
      </c>
      <c r="F236" s="83" t="s">
        <v>3190</v>
      </c>
      <c r="G236" s="83" t="s">
        <v>3182</v>
      </c>
      <c r="H236" s="83" t="s">
        <v>3180</v>
      </c>
      <c r="I236" s="83" t="s">
        <v>3184</v>
      </c>
      <c r="J236" s="83" t="s">
        <v>3192</v>
      </c>
      <c r="K236" s="89" t="s">
        <v>3191</v>
      </c>
    </row>
    <row r="237" spans="2:11" x14ac:dyDescent="0.25">
      <c r="B237" s="88">
        <v>232</v>
      </c>
      <c r="C237" s="83" t="s">
        <v>3434</v>
      </c>
      <c r="D237" s="83" t="s">
        <v>3188</v>
      </c>
      <c r="E237" s="83" t="s">
        <v>3187</v>
      </c>
      <c r="F237" s="83" t="s">
        <v>3190</v>
      </c>
      <c r="G237" s="83" t="s">
        <v>3182</v>
      </c>
      <c r="H237" s="83" t="s">
        <v>3180</v>
      </c>
      <c r="I237" s="83" t="s">
        <v>3184</v>
      </c>
      <c r="J237" s="83" t="s">
        <v>3192</v>
      </c>
      <c r="K237" s="89" t="s">
        <v>3191</v>
      </c>
    </row>
    <row r="238" spans="2:11" x14ac:dyDescent="0.25">
      <c r="B238" s="88">
        <v>233</v>
      </c>
      <c r="C238" s="83" t="s">
        <v>3435</v>
      </c>
      <c r="D238" s="83" t="s">
        <v>3188</v>
      </c>
      <c r="E238" s="83" t="s">
        <v>3187</v>
      </c>
      <c r="F238" s="83" t="s">
        <v>3189</v>
      </c>
      <c r="G238" s="83" t="s">
        <v>3182</v>
      </c>
      <c r="H238" s="83" t="s">
        <v>3180</v>
      </c>
      <c r="I238" s="83" t="s">
        <v>3184</v>
      </c>
      <c r="J238" s="83" t="s">
        <v>3192</v>
      </c>
      <c r="K238" s="89" t="s">
        <v>3191</v>
      </c>
    </row>
    <row r="239" spans="2:11" x14ac:dyDescent="0.25">
      <c r="B239" s="88">
        <v>234</v>
      </c>
      <c r="C239" s="83" t="s">
        <v>3436</v>
      </c>
      <c r="D239" s="83" t="s">
        <v>3188</v>
      </c>
      <c r="E239" s="83" t="s">
        <v>3187</v>
      </c>
      <c r="F239" s="83" t="s">
        <v>3190</v>
      </c>
      <c r="G239" s="83" t="s">
        <v>3182</v>
      </c>
      <c r="H239" s="83" t="s">
        <v>3180</v>
      </c>
      <c r="I239" s="83" t="s">
        <v>3184</v>
      </c>
      <c r="J239" s="83" t="s">
        <v>3192</v>
      </c>
      <c r="K239" s="89" t="s">
        <v>3189</v>
      </c>
    </row>
    <row r="240" spans="2:11" x14ac:dyDescent="0.25">
      <c r="B240" s="88">
        <v>235</v>
      </c>
      <c r="C240" s="83" t="s">
        <v>3437</v>
      </c>
      <c r="D240" s="83" t="s">
        <v>3188</v>
      </c>
      <c r="E240" s="83" t="s">
        <v>3187</v>
      </c>
      <c r="F240" s="83" t="s">
        <v>3190</v>
      </c>
      <c r="G240" s="83" t="s">
        <v>3182</v>
      </c>
      <c r="H240" s="83" t="s">
        <v>3180</v>
      </c>
      <c r="I240" s="83" t="s">
        <v>3184</v>
      </c>
      <c r="J240" s="83" t="s">
        <v>3189</v>
      </c>
      <c r="K240" s="89" t="s">
        <v>3191</v>
      </c>
    </row>
    <row r="241" spans="2:11" x14ac:dyDescent="0.25">
      <c r="B241" s="88">
        <v>236</v>
      </c>
      <c r="C241" s="83" t="s">
        <v>3438</v>
      </c>
      <c r="D241" s="83" t="s">
        <v>3182</v>
      </c>
      <c r="E241" s="83" t="s">
        <v>3190</v>
      </c>
      <c r="F241" s="83" t="s">
        <v>3189</v>
      </c>
      <c r="G241" s="83" t="s">
        <v>3184</v>
      </c>
      <c r="H241" s="83" t="s">
        <v>3180</v>
      </c>
      <c r="I241" s="83" t="s">
        <v>3186</v>
      </c>
      <c r="J241" s="83" t="s">
        <v>3192</v>
      </c>
      <c r="K241" s="89" t="s">
        <v>3191</v>
      </c>
    </row>
    <row r="242" spans="2:11" x14ac:dyDescent="0.25">
      <c r="B242" s="88">
        <v>237</v>
      </c>
      <c r="C242" s="83" t="s">
        <v>3439</v>
      </c>
      <c r="D242" s="83" t="s">
        <v>3188</v>
      </c>
      <c r="E242" s="83" t="s">
        <v>3190</v>
      </c>
      <c r="F242" s="83" t="s">
        <v>3186</v>
      </c>
      <c r="G242" s="83" t="s">
        <v>3182</v>
      </c>
      <c r="H242" s="83" t="s">
        <v>3180</v>
      </c>
      <c r="I242" s="83" t="s">
        <v>3184</v>
      </c>
      <c r="J242" s="83" t="s">
        <v>3192</v>
      </c>
      <c r="K242" s="89" t="s">
        <v>3191</v>
      </c>
    </row>
    <row r="243" spans="2:11" x14ac:dyDescent="0.25">
      <c r="B243" s="88">
        <v>238</v>
      </c>
      <c r="C243" s="83" t="s">
        <v>3440</v>
      </c>
      <c r="D243" s="83" t="s">
        <v>3188</v>
      </c>
      <c r="E243" s="83" t="s">
        <v>3186</v>
      </c>
      <c r="F243" s="83" t="s">
        <v>3189</v>
      </c>
      <c r="G243" s="83" t="s">
        <v>3182</v>
      </c>
      <c r="H243" s="83" t="s">
        <v>3180</v>
      </c>
      <c r="I243" s="83" t="s">
        <v>3184</v>
      </c>
      <c r="J243" s="83" t="s">
        <v>3192</v>
      </c>
      <c r="K243" s="89" t="s">
        <v>3191</v>
      </c>
    </row>
    <row r="244" spans="2:11" x14ac:dyDescent="0.25">
      <c r="B244" s="88">
        <v>239</v>
      </c>
      <c r="C244" s="83" t="s">
        <v>3441</v>
      </c>
      <c r="D244" s="83" t="s">
        <v>3188</v>
      </c>
      <c r="E244" s="83" t="s">
        <v>3190</v>
      </c>
      <c r="F244" s="83" t="s">
        <v>3186</v>
      </c>
      <c r="G244" s="83" t="s">
        <v>3182</v>
      </c>
      <c r="H244" s="83" t="s">
        <v>3180</v>
      </c>
      <c r="I244" s="83" t="s">
        <v>3184</v>
      </c>
      <c r="J244" s="83" t="s">
        <v>3192</v>
      </c>
      <c r="K244" s="89" t="s">
        <v>3189</v>
      </c>
    </row>
    <row r="245" spans="2:11" x14ac:dyDescent="0.25">
      <c r="B245" s="88">
        <v>240</v>
      </c>
      <c r="C245" s="83" t="s">
        <v>3442</v>
      </c>
      <c r="D245" s="83" t="s">
        <v>3188</v>
      </c>
      <c r="E245" s="83" t="s">
        <v>3190</v>
      </c>
      <c r="F245" s="83" t="s">
        <v>3186</v>
      </c>
      <c r="G245" s="83" t="s">
        <v>3182</v>
      </c>
      <c r="H245" s="83" t="s">
        <v>3180</v>
      </c>
      <c r="I245" s="83" t="s">
        <v>3184</v>
      </c>
      <c r="J245" s="83" t="s">
        <v>3189</v>
      </c>
      <c r="K245" s="89" t="s">
        <v>3191</v>
      </c>
    </row>
    <row r="246" spans="2:11" x14ac:dyDescent="0.25">
      <c r="B246" s="88">
        <v>241</v>
      </c>
      <c r="C246" s="83" t="s">
        <v>3443</v>
      </c>
      <c r="D246" s="83" t="s">
        <v>3182</v>
      </c>
      <c r="E246" s="83" t="s">
        <v>3187</v>
      </c>
      <c r="F246" s="83" t="s">
        <v>3190</v>
      </c>
      <c r="G246" s="83" t="s">
        <v>3184</v>
      </c>
      <c r="H246" s="83" t="s">
        <v>3180</v>
      </c>
      <c r="I246" s="83" t="s">
        <v>3186</v>
      </c>
      <c r="J246" s="83" t="s">
        <v>3192</v>
      </c>
      <c r="K246" s="89" t="s">
        <v>3191</v>
      </c>
    </row>
    <row r="247" spans="2:11" x14ac:dyDescent="0.25">
      <c r="B247" s="88">
        <v>242</v>
      </c>
      <c r="C247" s="83" t="s">
        <v>3444</v>
      </c>
      <c r="D247" s="83" t="s">
        <v>3182</v>
      </c>
      <c r="E247" s="83" t="s">
        <v>3187</v>
      </c>
      <c r="F247" s="83" t="s">
        <v>3189</v>
      </c>
      <c r="G247" s="83" t="s">
        <v>3184</v>
      </c>
      <c r="H247" s="83" t="s">
        <v>3180</v>
      </c>
      <c r="I247" s="83" t="s">
        <v>3186</v>
      </c>
      <c r="J247" s="83" t="s">
        <v>3192</v>
      </c>
      <c r="K247" s="89" t="s">
        <v>3191</v>
      </c>
    </row>
    <row r="248" spans="2:11" x14ac:dyDescent="0.25">
      <c r="B248" s="88">
        <v>243</v>
      </c>
      <c r="C248" s="83" t="s">
        <v>3445</v>
      </c>
      <c r="D248" s="83" t="s">
        <v>3182</v>
      </c>
      <c r="E248" s="83" t="s">
        <v>3187</v>
      </c>
      <c r="F248" s="83" t="s">
        <v>3190</v>
      </c>
      <c r="G248" s="83" t="s">
        <v>3184</v>
      </c>
      <c r="H248" s="83" t="s">
        <v>3180</v>
      </c>
      <c r="I248" s="83" t="s">
        <v>3186</v>
      </c>
      <c r="J248" s="83" t="s">
        <v>3192</v>
      </c>
      <c r="K248" s="89" t="s">
        <v>3189</v>
      </c>
    </row>
    <row r="249" spans="2:11" x14ac:dyDescent="0.25">
      <c r="B249" s="88">
        <v>244</v>
      </c>
      <c r="C249" s="83" t="s">
        <v>3446</v>
      </c>
      <c r="D249" s="83" t="s">
        <v>3182</v>
      </c>
      <c r="E249" s="83" t="s">
        <v>3187</v>
      </c>
      <c r="F249" s="83" t="s">
        <v>3190</v>
      </c>
      <c r="G249" s="83" t="s">
        <v>3184</v>
      </c>
      <c r="H249" s="83" t="s">
        <v>3180</v>
      </c>
      <c r="I249" s="83" t="s">
        <v>3186</v>
      </c>
      <c r="J249" s="83" t="s">
        <v>3189</v>
      </c>
      <c r="K249" s="89" t="s">
        <v>3191</v>
      </c>
    </row>
    <row r="250" spans="2:11" x14ac:dyDescent="0.25">
      <c r="B250" s="88">
        <v>245</v>
      </c>
      <c r="C250" s="83" t="s">
        <v>3447</v>
      </c>
      <c r="D250" s="83" t="s">
        <v>3188</v>
      </c>
      <c r="E250" s="83" t="s">
        <v>3187</v>
      </c>
      <c r="F250" s="83" t="s">
        <v>3186</v>
      </c>
      <c r="G250" s="83" t="s">
        <v>3182</v>
      </c>
      <c r="H250" s="83" t="s">
        <v>3180</v>
      </c>
      <c r="I250" s="83" t="s">
        <v>3184</v>
      </c>
      <c r="J250" s="83" t="s">
        <v>3192</v>
      </c>
      <c r="K250" s="89" t="s">
        <v>3191</v>
      </c>
    </row>
    <row r="251" spans="2:11" x14ac:dyDescent="0.25">
      <c r="B251" s="88">
        <v>246</v>
      </c>
      <c r="C251" s="83" t="s">
        <v>3448</v>
      </c>
      <c r="D251" s="83" t="s">
        <v>3182</v>
      </c>
      <c r="E251" s="83" t="s">
        <v>3187</v>
      </c>
      <c r="F251" s="83" t="s">
        <v>3190</v>
      </c>
      <c r="G251" s="83" t="s">
        <v>3184</v>
      </c>
      <c r="H251" s="83" t="s">
        <v>3180</v>
      </c>
      <c r="I251" s="83" t="s">
        <v>3186</v>
      </c>
      <c r="J251" s="83" t="s">
        <v>3192</v>
      </c>
      <c r="K251" s="89" t="s">
        <v>3188</v>
      </c>
    </row>
    <row r="252" spans="2:11" x14ac:dyDescent="0.25">
      <c r="B252" s="88">
        <v>247</v>
      </c>
      <c r="C252" s="83" t="s">
        <v>3449</v>
      </c>
      <c r="D252" s="83" t="s">
        <v>3188</v>
      </c>
      <c r="E252" s="83" t="s">
        <v>3187</v>
      </c>
      <c r="F252" s="83" t="s">
        <v>3190</v>
      </c>
      <c r="G252" s="83" t="s">
        <v>3182</v>
      </c>
      <c r="H252" s="83" t="s">
        <v>3180</v>
      </c>
      <c r="I252" s="83" t="s">
        <v>3186</v>
      </c>
      <c r="J252" s="83" t="s">
        <v>3184</v>
      </c>
      <c r="K252" s="89" t="s">
        <v>3191</v>
      </c>
    </row>
    <row r="253" spans="2:11" x14ac:dyDescent="0.25">
      <c r="B253" s="88">
        <v>248</v>
      </c>
      <c r="C253" s="83" t="s">
        <v>3450</v>
      </c>
      <c r="D253" s="83" t="s">
        <v>3188</v>
      </c>
      <c r="E253" s="83" t="s">
        <v>3187</v>
      </c>
      <c r="F253" s="83" t="s">
        <v>3186</v>
      </c>
      <c r="G253" s="83" t="s">
        <v>3182</v>
      </c>
      <c r="H253" s="83" t="s">
        <v>3180</v>
      </c>
      <c r="I253" s="83" t="s">
        <v>3184</v>
      </c>
      <c r="J253" s="83" t="s">
        <v>3192</v>
      </c>
      <c r="K253" s="89" t="s">
        <v>3189</v>
      </c>
    </row>
    <row r="254" spans="2:11" x14ac:dyDescent="0.25">
      <c r="B254" s="88">
        <v>249</v>
      </c>
      <c r="C254" s="83" t="s">
        <v>3451</v>
      </c>
      <c r="D254" s="83" t="s">
        <v>3188</v>
      </c>
      <c r="E254" s="83" t="s">
        <v>3187</v>
      </c>
      <c r="F254" s="83" t="s">
        <v>3186</v>
      </c>
      <c r="G254" s="83" t="s">
        <v>3182</v>
      </c>
      <c r="H254" s="83" t="s">
        <v>3180</v>
      </c>
      <c r="I254" s="83" t="s">
        <v>3184</v>
      </c>
      <c r="J254" s="83" t="s">
        <v>3189</v>
      </c>
      <c r="K254" s="89" t="s">
        <v>3191</v>
      </c>
    </row>
    <row r="255" spans="2:11" x14ac:dyDescent="0.25">
      <c r="B255" s="88">
        <v>250</v>
      </c>
      <c r="C255" s="83" t="s">
        <v>3452</v>
      </c>
      <c r="D255" s="83" t="s">
        <v>3188</v>
      </c>
      <c r="E255" s="83" t="s">
        <v>3187</v>
      </c>
      <c r="F255" s="83" t="s">
        <v>3190</v>
      </c>
      <c r="G255" s="83" t="s">
        <v>3182</v>
      </c>
      <c r="H255" s="83" t="s">
        <v>3180</v>
      </c>
      <c r="I255" s="83" t="s">
        <v>3186</v>
      </c>
      <c r="J255" s="83" t="s">
        <v>3184</v>
      </c>
      <c r="K255" s="89" t="s">
        <v>3189</v>
      </c>
    </row>
    <row r="256" spans="2:11" x14ac:dyDescent="0.25">
      <c r="B256" s="88">
        <v>251</v>
      </c>
      <c r="C256" s="83" t="s">
        <v>3453</v>
      </c>
      <c r="D256" s="83" t="s">
        <v>3185</v>
      </c>
      <c r="E256" s="83" t="s">
        <v>3190</v>
      </c>
      <c r="F256" s="83" t="s">
        <v>3189</v>
      </c>
      <c r="G256" s="83" t="s">
        <v>3182</v>
      </c>
      <c r="H256" s="83" t="s">
        <v>3180</v>
      </c>
      <c r="I256" s="83" t="s">
        <v>3184</v>
      </c>
      <c r="J256" s="83" t="s">
        <v>3192</v>
      </c>
      <c r="K256" s="89" t="s">
        <v>3191</v>
      </c>
    </row>
    <row r="257" spans="2:11" x14ac:dyDescent="0.25">
      <c r="B257" s="88">
        <v>252</v>
      </c>
      <c r="C257" s="83" t="s">
        <v>3454</v>
      </c>
      <c r="D257" s="83" t="s">
        <v>3188</v>
      </c>
      <c r="E257" s="83" t="s">
        <v>3190</v>
      </c>
      <c r="F257" s="83" t="s">
        <v>3185</v>
      </c>
      <c r="G257" s="83" t="s">
        <v>3182</v>
      </c>
      <c r="H257" s="83" t="s">
        <v>3180</v>
      </c>
      <c r="I257" s="83" t="s">
        <v>3184</v>
      </c>
      <c r="J257" s="83" t="s">
        <v>3192</v>
      </c>
      <c r="K257" s="89" t="s">
        <v>3191</v>
      </c>
    </row>
    <row r="258" spans="2:11" x14ac:dyDescent="0.25">
      <c r="B258" s="88">
        <v>253</v>
      </c>
      <c r="C258" s="83" t="s">
        <v>3455</v>
      </c>
      <c r="D258" s="83" t="s">
        <v>3188</v>
      </c>
      <c r="E258" s="83" t="s">
        <v>3185</v>
      </c>
      <c r="F258" s="83" t="s">
        <v>3189</v>
      </c>
      <c r="G258" s="83" t="s">
        <v>3182</v>
      </c>
      <c r="H258" s="83" t="s">
        <v>3180</v>
      </c>
      <c r="I258" s="83" t="s">
        <v>3184</v>
      </c>
      <c r="J258" s="83" t="s">
        <v>3192</v>
      </c>
      <c r="K258" s="89" t="s">
        <v>3191</v>
      </c>
    </row>
    <row r="259" spans="2:11" x14ac:dyDescent="0.25">
      <c r="B259" s="88">
        <v>254</v>
      </c>
      <c r="C259" s="83" t="s">
        <v>3456</v>
      </c>
      <c r="D259" s="83" t="s">
        <v>3188</v>
      </c>
      <c r="E259" s="83" t="s">
        <v>3190</v>
      </c>
      <c r="F259" s="83" t="s">
        <v>3185</v>
      </c>
      <c r="G259" s="83" t="s">
        <v>3182</v>
      </c>
      <c r="H259" s="83" t="s">
        <v>3180</v>
      </c>
      <c r="I259" s="83" t="s">
        <v>3184</v>
      </c>
      <c r="J259" s="83" t="s">
        <v>3192</v>
      </c>
      <c r="K259" s="89" t="s">
        <v>3189</v>
      </c>
    </row>
    <row r="260" spans="2:11" x14ac:dyDescent="0.25">
      <c r="B260" s="88">
        <v>255</v>
      </c>
      <c r="C260" s="83" t="s">
        <v>3457</v>
      </c>
      <c r="D260" s="83" t="s">
        <v>3188</v>
      </c>
      <c r="E260" s="83" t="s">
        <v>3190</v>
      </c>
      <c r="F260" s="83" t="s">
        <v>3185</v>
      </c>
      <c r="G260" s="83" t="s">
        <v>3182</v>
      </c>
      <c r="H260" s="83" t="s">
        <v>3180</v>
      </c>
      <c r="I260" s="83" t="s">
        <v>3184</v>
      </c>
      <c r="J260" s="83" t="s">
        <v>3189</v>
      </c>
      <c r="K260" s="89" t="s">
        <v>3191</v>
      </c>
    </row>
    <row r="261" spans="2:11" x14ac:dyDescent="0.25">
      <c r="B261" s="88">
        <v>256</v>
      </c>
      <c r="C261" s="83" t="s">
        <v>3458</v>
      </c>
      <c r="D261" s="83" t="s">
        <v>3185</v>
      </c>
      <c r="E261" s="83" t="s">
        <v>3187</v>
      </c>
      <c r="F261" s="83" t="s">
        <v>3190</v>
      </c>
      <c r="G261" s="83" t="s">
        <v>3182</v>
      </c>
      <c r="H261" s="83" t="s">
        <v>3180</v>
      </c>
      <c r="I261" s="83" t="s">
        <v>3184</v>
      </c>
      <c r="J261" s="83" t="s">
        <v>3192</v>
      </c>
      <c r="K261" s="89" t="s">
        <v>3191</v>
      </c>
    </row>
    <row r="262" spans="2:11" x14ac:dyDescent="0.25">
      <c r="B262" s="88">
        <v>257</v>
      </c>
      <c r="C262" s="83" t="s">
        <v>3459</v>
      </c>
      <c r="D262" s="83" t="s">
        <v>3185</v>
      </c>
      <c r="E262" s="83" t="s">
        <v>3187</v>
      </c>
      <c r="F262" s="83" t="s">
        <v>3189</v>
      </c>
      <c r="G262" s="83" t="s">
        <v>3182</v>
      </c>
      <c r="H262" s="83" t="s">
        <v>3180</v>
      </c>
      <c r="I262" s="83" t="s">
        <v>3184</v>
      </c>
      <c r="J262" s="83" t="s">
        <v>3192</v>
      </c>
      <c r="K262" s="89" t="s">
        <v>3191</v>
      </c>
    </row>
    <row r="263" spans="2:11" x14ac:dyDescent="0.25">
      <c r="B263" s="88">
        <v>258</v>
      </c>
      <c r="C263" s="83" t="s">
        <v>3460</v>
      </c>
      <c r="D263" s="83" t="s">
        <v>3185</v>
      </c>
      <c r="E263" s="83" t="s">
        <v>3187</v>
      </c>
      <c r="F263" s="83" t="s">
        <v>3190</v>
      </c>
      <c r="G263" s="83" t="s">
        <v>3182</v>
      </c>
      <c r="H263" s="83" t="s">
        <v>3180</v>
      </c>
      <c r="I263" s="83" t="s">
        <v>3184</v>
      </c>
      <c r="J263" s="83" t="s">
        <v>3192</v>
      </c>
      <c r="K263" s="89" t="s">
        <v>3189</v>
      </c>
    </row>
    <row r="264" spans="2:11" x14ac:dyDescent="0.25">
      <c r="B264" s="88">
        <v>259</v>
      </c>
      <c r="C264" s="83" t="s">
        <v>3461</v>
      </c>
      <c r="D264" s="83" t="s">
        <v>3185</v>
      </c>
      <c r="E264" s="83" t="s">
        <v>3187</v>
      </c>
      <c r="F264" s="83" t="s">
        <v>3190</v>
      </c>
      <c r="G264" s="83" t="s">
        <v>3182</v>
      </c>
      <c r="H264" s="83" t="s">
        <v>3180</v>
      </c>
      <c r="I264" s="83" t="s">
        <v>3184</v>
      </c>
      <c r="J264" s="83" t="s">
        <v>3189</v>
      </c>
      <c r="K264" s="89" t="s">
        <v>3191</v>
      </c>
    </row>
    <row r="265" spans="2:11" x14ac:dyDescent="0.25">
      <c r="B265" s="88">
        <v>260</v>
      </c>
      <c r="C265" s="83" t="s">
        <v>3462</v>
      </c>
      <c r="D265" s="83" t="s">
        <v>3188</v>
      </c>
      <c r="E265" s="83" t="s">
        <v>3187</v>
      </c>
      <c r="F265" s="83" t="s">
        <v>3185</v>
      </c>
      <c r="G265" s="83" t="s">
        <v>3182</v>
      </c>
      <c r="H265" s="83" t="s">
        <v>3180</v>
      </c>
      <c r="I265" s="83" t="s">
        <v>3184</v>
      </c>
      <c r="J265" s="83" t="s">
        <v>3192</v>
      </c>
      <c r="K265" s="89" t="s">
        <v>3191</v>
      </c>
    </row>
    <row r="266" spans="2:11" x14ac:dyDescent="0.25">
      <c r="B266" s="88">
        <v>261</v>
      </c>
      <c r="C266" s="83" t="s">
        <v>3463</v>
      </c>
      <c r="D266" s="83" t="s">
        <v>3188</v>
      </c>
      <c r="E266" s="83" t="s">
        <v>3187</v>
      </c>
      <c r="F266" s="83" t="s">
        <v>3190</v>
      </c>
      <c r="G266" s="83" t="s">
        <v>3182</v>
      </c>
      <c r="H266" s="83" t="s">
        <v>3180</v>
      </c>
      <c r="I266" s="83" t="s">
        <v>3184</v>
      </c>
      <c r="J266" s="83" t="s">
        <v>3192</v>
      </c>
      <c r="K266" s="89" t="s">
        <v>3185</v>
      </c>
    </row>
    <row r="267" spans="2:11" x14ac:dyDescent="0.25">
      <c r="B267" s="88">
        <v>262</v>
      </c>
      <c r="C267" s="83" t="s">
        <v>3464</v>
      </c>
      <c r="D267" s="83" t="s">
        <v>3188</v>
      </c>
      <c r="E267" s="83" t="s">
        <v>3187</v>
      </c>
      <c r="F267" s="83" t="s">
        <v>3190</v>
      </c>
      <c r="G267" s="83" t="s">
        <v>3182</v>
      </c>
      <c r="H267" s="83" t="s">
        <v>3180</v>
      </c>
      <c r="I267" s="83" t="s">
        <v>3184</v>
      </c>
      <c r="J267" s="83" t="s">
        <v>3185</v>
      </c>
      <c r="K267" s="89" t="s">
        <v>3191</v>
      </c>
    </row>
    <row r="268" spans="2:11" x14ac:dyDescent="0.25">
      <c r="B268" s="88">
        <v>263</v>
      </c>
      <c r="C268" s="83" t="s">
        <v>3465</v>
      </c>
      <c r="D268" s="83" t="s">
        <v>3188</v>
      </c>
      <c r="E268" s="83" t="s">
        <v>3187</v>
      </c>
      <c r="F268" s="83" t="s">
        <v>3185</v>
      </c>
      <c r="G268" s="83" t="s">
        <v>3182</v>
      </c>
      <c r="H268" s="83" t="s">
        <v>3180</v>
      </c>
      <c r="I268" s="83" t="s">
        <v>3184</v>
      </c>
      <c r="J268" s="83" t="s">
        <v>3192</v>
      </c>
      <c r="K268" s="89" t="s">
        <v>3189</v>
      </c>
    </row>
    <row r="269" spans="2:11" x14ac:dyDescent="0.25">
      <c r="B269" s="88">
        <v>264</v>
      </c>
      <c r="C269" s="83" t="s">
        <v>3466</v>
      </c>
      <c r="D269" s="83" t="s">
        <v>3188</v>
      </c>
      <c r="E269" s="83" t="s">
        <v>3187</v>
      </c>
      <c r="F269" s="83" t="s">
        <v>3185</v>
      </c>
      <c r="G269" s="83" t="s">
        <v>3182</v>
      </c>
      <c r="H269" s="83" t="s">
        <v>3180</v>
      </c>
      <c r="I269" s="83" t="s">
        <v>3184</v>
      </c>
      <c r="J269" s="83" t="s">
        <v>3189</v>
      </c>
      <c r="K269" s="89" t="s">
        <v>3191</v>
      </c>
    </row>
    <row r="270" spans="2:11" x14ac:dyDescent="0.25">
      <c r="B270" s="88">
        <v>265</v>
      </c>
      <c r="C270" s="83" t="s">
        <v>3467</v>
      </c>
      <c r="D270" s="83" t="s">
        <v>3188</v>
      </c>
      <c r="E270" s="83" t="s">
        <v>3187</v>
      </c>
      <c r="F270" s="83" t="s">
        <v>3190</v>
      </c>
      <c r="G270" s="83" t="s">
        <v>3182</v>
      </c>
      <c r="H270" s="83" t="s">
        <v>3180</v>
      </c>
      <c r="I270" s="83" t="s">
        <v>3184</v>
      </c>
      <c r="J270" s="83" t="s">
        <v>3185</v>
      </c>
      <c r="K270" s="89" t="s">
        <v>3189</v>
      </c>
    </row>
    <row r="271" spans="2:11" x14ac:dyDescent="0.25">
      <c r="B271" s="88">
        <v>266</v>
      </c>
      <c r="C271" s="83" t="s">
        <v>3468</v>
      </c>
      <c r="D271" s="83" t="s">
        <v>3182</v>
      </c>
      <c r="E271" s="83" t="s">
        <v>3190</v>
      </c>
      <c r="F271" s="83" t="s">
        <v>3185</v>
      </c>
      <c r="G271" s="83" t="s">
        <v>3184</v>
      </c>
      <c r="H271" s="83" t="s">
        <v>3180</v>
      </c>
      <c r="I271" s="83" t="s">
        <v>3186</v>
      </c>
      <c r="J271" s="83" t="s">
        <v>3192</v>
      </c>
      <c r="K271" s="89" t="s">
        <v>3191</v>
      </c>
    </row>
    <row r="272" spans="2:11" x14ac:dyDescent="0.25">
      <c r="B272" s="88">
        <v>267</v>
      </c>
      <c r="C272" s="83" t="s">
        <v>3469</v>
      </c>
      <c r="D272" s="83" t="s">
        <v>3182</v>
      </c>
      <c r="E272" s="83" t="s">
        <v>3185</v>
      </c>
      <c r="F272" s="83" t="s">
        <v>3189</v>
      </c>
      <c r="G272" s="83" t="s">
        <v>3184</v>
      </c>
      <c r="H272" s="83" t="s">
        <v>3180</v>
      </c>
      <c r="I272" s="83" t="s">
        <v>3186</v>
      </c>
      <c r="J272" s="83" t="s">
        <v>3192</v>
      </c>
      <c r="K272" s="89" t="s">
        <v>3191</v>
      </c>
    </row>
    <row r="273" spans="2:11" x14ac:dyDescent="0.25">
      <c r="B273" s="88">
        <v>268</v>
      </c>
      <c r="C273" s="83" t="s">
        <v>3470</v>
      </c>
      <c r="D273" s="83" t="s">
        <v>3182</v>
      </c>
      <c r="E273" s="83" t="s">
        <v>3190</v>
      </c>
      <c r="F273" s="83" t="s">
        <v>3185</v>
      </c>
      <c r="G273" s="83" t="s">
        <v>3184</v>
      </c>
      <c r="H273" s="83" t="s">
        <v>3180</v>
      </c>
      <c r="I273" s="83" t="s">
        <v>3186</v>
      </c>
      <c r="J273" s="83" t="s">
        <v>3192</v>
      </c>
      <c r="K273" s="89" t="s">
        <v>3189</v>
      </c>
    </row>
    <row r="274" spans="2:11" x14ac:dyDescent="0.25">
      <c r="B274" s="88">
        <v>269</v>
      </c>
      <c r="C274" s="83" t="s">
        <v>3471</v>
      </c>
      <c r="D274" s="83" t="s">
        <v>3182</v>
      </c>
      <c r="E274" s="83" t="s">
        <v>3190</v>
      </c>
      <c r="F274" s="83" t="s">
        <v>3185</v>
      </c>
      <c r="G274" s="83" t="s">
        <v>3184</v>
      </c>
      <c r="H274" s="83" t="s">
        <v>3180</v>
      </c>
      <c r="I274" s="83" t="s">
        <v>3186</v>
      </c>
      <c r="J274" s="83" t="s">
        <v>3189</v>
      </c>
      <c r="K274" s="89" t="s">
        <v>3191</v>
      </c>
    </row>
    <row r="275" spans="2:11" x14ac:dyDescent="0.25">
      <c r="B275" s="88">
        <v>270</v>
      </c>
      <c r="C275" s="83" t="s">
        <v>3472</v>
      </c>
      <c r="D275" s="83" t="s">
        <v>3188</v>
      </c>
      <c r="E275" s="83" t="s">
        <v>3185</v>
      </c>
      <c r="F275" s="83" t="s">
        <v>3186</v>
      </c>
      <c r="G275" s="83" t="s">
        <v>3182</v>
      </c>
      <c r="H275" s="83" t="s">
        <v>3180</v>
      </c>
      <c r="I275" s="83" t="s">
        <v>3184</v>
      </c>
      <c r="J275" s="83" t="s">
        <v>3192</v>
      </c>
      <c r="K275" s="89" t="s">
        <v>3191</v>
      </c>
    </row>
    <row r="276" spans="2:11" x14ac:dyDescent="0.25">
      <c r="B276" s="88">
        <v>271</v>
      </c>
      <c r="C276" s="83" t="s">
        <v>3473</v>
      </c>
      <c r="D276" s="83" t="s">
        <v>3188</v>
      </c>
      <c r="E276" s="83" t="s">
        <v>3190</v>
      </c>
      <c r="F276" s="83" t="s">
        <v>3186</v>
      </c>
      <c r="G276" s="83" t="s">
        <v>3182</v>
      </c>
      <c r="H276" s="83" t="s">
        <v>3180</v>
      </c>
      <c r="I276" s="83" t="s">
        <v>3184</v>
      </c>
      <c r="J276" s="83" t="s">
        <v>3192</v>
      </c>
      <c r="K276" s="89" t="s">
        <v>3185</v>
      </c>
    </row>
    <row r="277" spans="2:11" x14ac:dyDescent="0.25">
      <c r="B277" s="88">
        <v>272</v>
      </c>
      <c r="C277" s="83" t="s">
        <v>3474</v>
      </c>
      <c r="D277" s="83" t="s">
        <v>3188</v>
      </c>
      <c r="E277" s="83" t="s">
        <v>3190</v>
      </c>
      <c r="F277" s="83" t="s">
        <v>3185</v>
      </c>
      <c r="G277" s="83" t="s">
        <v>3182</v>
      </c>
      <c r="H277" s="83" t="s">
        <v>3180</v>
      </c>
      <c r="I277" s="83" t="s">
        <v>3186</v>
      </c>
      <c r="J277" s="83" t="s">
        <v>3184</v>
      </c>
      <c r="K277" s="89" t="s">
        <v>3191</v>
      </c>
    </row>
    <row r="278" spans="2:11" x14ac:dyDescent="0.25">
      <c r="B278" s="88">
        <v>273</v>
      </c>
      <c r="C278" s="83" t="s">
        <v>3475</v>
      </c>
      <c r="D278" s="83" t="s">
        <v>3188</v>
      </c>
      <c r="E278" s="83" t="s">
        <v>3185</v>
      </c>
      <c r="F278" s="83" t="s">
        <v>3186</v>
      </c>
      <c r="G278" s="83" t="s">
        <v>3182</v>
      </c>
      <c r="H278" s="83" t="s">
        <v>3180</v>
      </c>
      <c r="I278" s="83" t="s">
        <v>3184</v>
      </c>
      <c r="J278" s="83" t="s">
        <v>3192</v>
      </c>
      <c r="K278" s="89" t="s">
        <v>3189</v>
      </c>
    </row>
    <row r="279" spans="2:11" x14ac:dyDescent="0.25">
      <c r="B279" s="88">
        <v>274</v>
      </c>
      <c r="C279" s="83" t="s">
        <v>3476</v>
      </c>
      <c r="D279" s="83" t="s">
        <v>3188</v>
      </c>
      <c r="E279" s="83" t="s">
        <v>3185</v>
      </c>
      <c r="F279" s="83" t="s">
        <v>3186</v>
      </c>
      <c r="G279" s="83" t="s">
        <v>3182</v>
      </c>
      <c r="H279" s="83" t="s">
        <v>3180</v>
      </c>
      <c r="I279" s="83" t="s">
        <v>3184</v>
      </c>
      <c r="J279" s="83" t="s">
        <v>3189</v>
      </c>
      <c r="K279" s="89" t="s">
        <v>3191</v>
      </c>
    </row>
    <row r="280" spans="2:11" x14ac:dyDescent="0.25">
      <c r="B280" s="88">
        <v>275</v>
      </c>
      <c r="C280" s="83" t="s">
        <v>3477</v>
      </c>
      <c r="D280" s="83" t="s">
        <v>3188</v>
      </c>
      <c r="E280" s="83" t="s">
        <v>3190</v>
      </c>
      <c r="F280" s="83" t="s">
        <v>3185</v>
      </c>
      <c r="G280" s="83" t="s">
        <v>3182</v>
      </c>
      <c r="H280" s="83" t="s">
        <v>3180</v>
      </c>
      <c r="I280" s="83" t="s">
        <v>3186</v>
      </c>
      <c r="J280" s="83" t="s">
        <v>3184</v>
      </c>
      <c r="K280" s="89" t="s">
        <v>3189</v>
      </c>
    </row>
    <row r="281" spans="2:11" x14ac:dyDescent="0.25">
      <c r="B281" s="88">
        <v>276</v>
      </c>
      <c r="C281" s="83" t="s">
        <v>3478</v>
      </c>
      <c r="D281" s="83" t="s">
        <v>3182</v>
      </c>
      <c r="E281" s="83" t="s">
        <v>3187</v>
      </c>
      <c r="F281" s="83" t="s">
        <v>3185</v>
      </c>
      <c r="G281" s="83" t="s">
        <v>3184</v>
      </c>
      <c r="H281" s="83" t="s">
        <v>3180</v>
      </c>
      <c r="I281" s="83" t="s">
        <v>3186</v>
      </c>
      <c r="J281" s="83" t="s">
        <v>3192</v>
      </c>
      <c r="K281" s="89" t="s">
        <v>3191</v>
      </c>
    </row>
    <row r="282" spans="2:11" x14ac:dyDescent="0.25">
      <c r="B282" s="88">
        <v>277</v>
      </c>
      <c r="C282" s="83" t="s">
        <v>3479</v>
      </c>
      <c r="D282" s="83" t="s">
        <v>3182</v>
      </c>
      <c r="E282" s="83" t="s">
        <v>3187</v>
      </c>
      <c r="F282" s="83" t="s">
        <v>3190</v>
      </c>
      <c r="G282" s="83" t="s">
        <v>3184</v>
      </c>
      <c r="H282" s="83" t="s">
        <v>3180</v>
      </c>
      <c r="I282" s="83" t="s">
        <v>3186</v>
      </c>
      <c r="J282" s="83" t="s">
        <v>3192</v>
      </c>
      <c r="K282" s="89" t="s">
        <v>3185</v>
      </c>
    </row>
    <row r="283" spans="2:11" x14ac:dyDescent="0.25">
      <c r="B283" s="88">
        <v>278</v>
      </c>
      <c r="C283" s="83" t="s">
        <v>3480</v>
      </c>
      <c r="D283" s="83" t="s">
        <v>3182</v>
      </c>
      <c r="E283" s="83" t="s">
        <v>3187</v>
      </c>
      <c r="F283" s="83" t="s">
        <v>3190</v>
      </c>
      <c r="G283" s="83" t="s">
        <v>3184</v>
      </c>
      <c r="H283" s="83" t="s">
        <v>3180</v>
      </c>
      <c r="I283" s="83" t="s">
        <v>3186</v>
      </c>
      <c r="J283" s="83" t="s">
        <v>3185</v>
      </c>
      <c r="K283" s="89" t="s">
        <v>3191</v>
      </c>
    </row>
    <row r="284" spans="2:11" x14ac:dyDescent="0.25">
      <c r="B284" s="88">
        <v>279</v>
      </c>
      <c r="C284" s="83" t="s">
        <v>3481</v>
      </c>
      <c r="D284" s="83" t="s">
        <v>3182</v>
      </c>
      <c r="E284" s="83" t="s">
        <v>3187</v>
      </c>
      <c r="F284" s="83" t="s">
        <v>3185</v>
      </c>
      <c r="G284" s="83" t="s">
        <v>3184</v>
      </c>
      <c r="H284" s="83" t="s">
        <v>3180</v>
      </c>
      <c r="I284" s="83" t="s">
        <v>3186</v>
      </c>
      <c r="J284" s="83" t="s">
        <v>3192</v>
      </c>
      <c r="K284" s="89" t="s">
        <v>3189</v>
      </c>
    </row>
    <row r="285" spans="2:11" x14ac:dyDescent="0.25">
      <c r="B285" s="88">
        <v>280</v>
      </c>
      <c r="C285" s="83" t="s">
        <v>3482</v>
      </c>
      <c r="D285" s="83" t="s">
        <v>3182</v>
      </c>
      <c r="E285" s="83" t="s">
        <v>3187</v>
      </c>
      <c r="F285" s="83" t="s">
        <v>3185</v>
      </c>
      <c r="G285" s="83" t="s">
        <v>3184</v>
      </c>
      <c r="H285" s="83" t="s">
        <v>3180</v>
      </c>
      <c r="I285" s="83" t="s">
        <v>3186</v>
      </c>
      <c r="J285" s="83" t="s">
        <v>3189</v>
      </c>
      <c r="K285" s="89" t="s">
        <v>3191</v>
      </c>
    </row>
    <row r="286" spans="2:11" x14ac:dyDescent="0.25">
      <c r="B286" s="88">
        <v>281</v>
      </c>
      <c r="C286" s="83" t="s">
        <v>3483</v>
      </c>
      <c r="D286" s="83" t="s">
        <v>3182</v>
      </c>
      <c r="E286" s="83" t="s">
        <v>3187</v>
      </c>
      <c r="F286" s="83" t="s">
        <v>3190</v>
      </c>
      <c r="G286" s="83" t="s">
        <v>3184</v>
      </c>
      <c r="H286" s="83" t="s">
        <v>3180</v>
      </c>
      <c r="I286" s="83" t="s">
        <v>3186</v>
      </c>
      <c r="J286" s="83" t="s">
        <v>3185</v>
      </c>
      <c r="K286" s="89" t="s">
        <v>3189</v>
      </c>
    </row>
    <row r="287" spans="2:11" x14ac:dyDescent="0.25">
      <c r="B287" s="88">
        <v>282</v>
      </c>
      <c r="C287" s="83" t="s">
        <v>3484</v>
      </c>
      <c r="D287" s="83" t="s">
        <v>3188</v>
      </c>
      <c r="E287" s="83" t="s">
        <v>3187</v>
      </c>
      <c r="F287" s="83" t="s">
        <v>3186</v>
      </c>
      <c r="G287" s="83" t="s">
        <v>3182</v>
      </c>
      <c r="H287" s="83" t="s">
        <v>3180</v>
      </c>
      <c r="I287" s="83" t="s">
        <v>3184</v>
      </c>
      <c r="J287" s="83" t="s">
        <v>3192</v>
      </c>
      <c r="K287" s="89" t="s">
        <v>3185</v>
      </c>
    </row>
    <row r="288" spans="2:11" x14ac:dyDescent="0.25">
      <c r="B288" s="88">
        <v>283</v>
      </c>
      <c r="C288" s="83" t="s">
        <v>3485</v>
      </c>
      <c r="D288" s="83" t="s">
        <v>3188</v>
      </c>
      <c r="E288" s="83" t="s">
        <v>3187</v>
      </c>
      <c r="F288" s="83" t="s">
        <v>3185</v>
      </c>
      <c r="G288" s="83" t="s">
        <v>3182</v>
      </c>
      <c r="H288" s="83" t="s">
        <v>3180</v>
      </c>
      <c r="I288" s="83" t="s">
        <v>3186</v>
      </c>
      <c r="J288" s="83" t="s">
        <v>3184</v>
      </c>
      <c r="K288" s="89" t="s">
        <v>3191</v>
      </c>
    </row>
    <row r="289" spans="2:11" x14ac:dyDescent="0.25">
      <c r="B289" s="88">
        <v>284</v>
      </c>
      <c r="C289" s="83" t="s">
        <v>3486</v>
      </c>
      <c r="D289" s="83" t="s">
        <v>3188</v>
      </c>
      <c r="E289" s="83" t="s">
        <v>3187</v>
      </c>
      <c r="F289" s="83" t="s">
        <v>3190</v>
      </c>
      <c r="G289" s="83" t="s">
        <v>3182</v>
      </c>
      <c r="H289" s="83" t="s">
        <v>3180</v>
      </c>
      <c r="I289" s="83" t="s">
        <v>3186</v>
      </c>
      <c r="J289" s="83" t="s">
        <v>3184</v>
      </c>
      <c r="K289" s="89" t="s">
        <v>3185</v>
      </c>
    </row>
    <row r="290" spans="2:11" x14ac:dyDescent="0.25">
      <c r="B290" s="88">
        <v>285</v>
      </c>
      <c r="C290" s="83" t="s">
        <v>3487</v>
      </c>
      <c r="D290" s="83" t="s">
        <v>3188</v>
      </c>
      <c r="E290" s="83" t="s">
        <v>3187</v>
      </c>
      <c r="F290" s="83" t="s">
        <v>3185</v>
      </c>
      <c r="G290" s="83" t="s">
        <v>3182</v>
      </c>
      <c r="H290" s="83" t="s">
        <v>3180</v>
      </c>
      <c r="I290" s="83" t="s">
        <v>3186</v>
      </c>
      <c r="J290" s="83" t="s">
        <v>3184</v>
      </c>
      <c r="K290" s="89" t="s">
        <v>3189</v>
      </c>
    </row>
    <row r="291" spans="2:11" x14ac:dyDescent="0.25">
      <c r="B291" s="88">
        <v>286</v>
      </c>
      <c r="C291" s="83" t="s">
        <v>3488</v>
      </c>
      <c r="D291" s="83" t="s">
        <v>3188</v>
      </c>
      <c r="E291" s="83" t="s">
        <v>3190</v>
      </c>
      <c r="F291" s="83" t="s">
        <v>3181</v>
      </c>
      <c r="G291" s="83" t="s">
        <v>3180</v>
      </c>
      <c r="H291" s="83" t="s">
        <v>3189</v>
      </c>
      <c r="I291" s="83" t="s">
        <v>3187</v>
      </c>
      <c r="J291" s="83" t="s">
        <v>3192</v>
      </c>
      <c r="K291" s="89" t="s">
        <v>3191</v>
      </c>
    </row>
    <row r="292" spans="2:11" x14ac:dyDescent="0.25">
      <c r="B292" s="88">
        <v>287</v>
      </c>
      <c r="C292" s="83" t="s">
        <v>3489</v>
      </c>
      <c r="D292" s="83" t="s">
        <v>3188</v>
      </c>
      <c r="E292" s="83" t="s">
        <v>3190</v>
      </c>
      <c r="F292" s="83" t="s">
        <v>3181</v>
      </c>
      <c r="G292" s="83" t="s">
        <v>3180</v>
      </c>
      <c r="H292" s="83" t="s">
        <v>3189</v>
      </c>
      <c r="I292" s="83" t="s">
        <v>3186</v>
      </c>
      <c r="J292" s="83" t="s">
        <v>3192</v>
      </c>
      <c r="K292" s="89" t="s">
        <v>3191</v>
      </c>
    </row>
    <row r="293" spans="2:11" x14ac:dyDescent="0.25">
      <c r="B293" s="88">
        <v>288</v>
      </c>
      <c r="C293" s="83" t="s">
        <v>3490</v>
      </c>
      <c r="D293" s="83" t="s">
        <v>3189</v>
      </c>
      <c r="E293" s="83" t="s">
        <v>3190</v>
      </c>
      <c r="F293" s="83" t="s">
        <v>3181</v>
      </c>
      <c r="G293" s="83" t="s">
        <v>3186</v>
      </c>
      <c r="H293" s="83" t="s">
        <v>3180</v>
      </c>
      <c r="I293" s="83" t="s">
        <v>3187</v>
      </c>
      <c r="J293" s="83" t="s">
        <v>3192</v>
      </c>
      <c r="K293" s="89" t="s">
        <v>3191</v>
      </c>
    </row>
    <row r="294" spans="2:11" x14ac:dyDescent="0.25">
      <c r="B294" s="88">
        <v>289</v>
      </c>
      <c r="C294" s="83" t="s">
        <v>3491</v>
      </c>
      <c r="D294" s="83" t="s">
        <v>3188</v>
      </c>
      <c r="E294" s="83" t="s">
        <v>3190</v>
      </c>
      <c r="F294" s="83" t="s">
        <v>3181</v>
      </c>
      <c r="G294" s="83" t="s">
        <v>3186</v>
      </c>
      <c r="H294" s="83" t="s">
        <v>3180</v>
      </c>
      <c r="I294" s="83" t="s">
        <v>3187</v>
      </c>
      <c r="J294" s="83" t="s">
        <v>3192</v>
      </c>
      <c r="K294" s="89" t="s">
        <v>3191</v>
      </c>
    </row>
    <row r="295" spans="2:11" x14ac:dyDescent="0.25">
      <c r="B295" s="88">
        <v>290</v>
      </c>
      <c r="C295" s="83" t="s">
        <v>3492</v>
      </c>
      <c r="D295" s="83" t="s">
        <v>3188</v>
      </c>
      <c r="E295" s="83" t="s">
        <v>3187</v>
      </c>
      <c r="F295" s="83" t="s">
        <v>3181</v>
      </c>
      <c r="G295" s="83" t="s">
        <v>3180</v>
      </c>
      <c r="H295" s="83" t="s">
        <v>3189</v>
      </c>
      <c r="I295" s="83" t="s">
        <v>3186</v>
      </c>
      <c r="J295" s="83" t="s">
        <v>3192</v>
      </c>
      <c r="K295" s="89" t="s">
        <v>3191</v>
      </c>
    </row>
    <row r="296" spans="2:11" x14ac:dyDescent="0.25">
      <c r="B296" s="88">
        <v>291</v>
      </c>
      <c r="C296" s="83" t="s">
        <v>3493</v>
      </c>
      <c r="D296" s="83" t="s">
        <v>3188</v>
      </c>
      <c r="E296" s="83" t="s">
        <v>3190</v>
      </c>
      <c r="F296" s="83" t="s">
        <v>3181</v>
      </c>
      <c r="G296" s="83" t="s">
        <v>3186</v>
      </c>
      <c r="H296" s="83" t="s">
        <v>3180</v>
      </c>
      <c r="I296" s="83" t="s">
        <v>3187</v>
      </c>
      <c r="J296" s="83" t="s">
        <v>3192</v>
      </c>
      <c r="K296" s="89" t="s">
        <v>3189</v>
      </c>
    </row>
    <row r="297" spans="2:11" x14ac:dyDescent="0.25">
      <c r="B297" s="88">
        <v>292</v>
      </c>
      <c r="C297" s="83" t="s">
        <v>3494</v>
      </c>
      <c r="D297" s="83" t="s">
        <v>3188</v>
      </c>
      <c r="E297" s="83" t="s">
        <v>3190</v>
      </c>
      <c r="F297" s="83" t="s">
        <v>3181</v>
      </c>
      <c r="G297" s="83" t="s">
        <v>3186</v>
      </c>
      <c r="H297" s="83" t="s">
        <v>3180</v>
      </c>
      <c r="I297" s="83" t="s">
        <v>3187</v>
      </c>
      <c r="J297" s="83" t="s">
        <v>3189</v>
      </c>
      <c r="K297" s="89" t="s">
        <v>3191</v>
      </c>
    </row>
    <row r="298" spans="2:11" x14ac:dyDescent="0.25">
      <c r="B298" s="88">
        <v>293</v>
      </c>
      <c r="C298" s="83" t="s">
        <v>3495</v>
      </c>
      <c r="D298" s="83" t="s">
        <v>3185</v>
      </c>
      <c r="E298" s="83" t="s">
        <v>3190</v>
      </c>
      <c r="F298" s="83" t="s">
        <v>3181</v>
      </c>
      <c r="G298" s="83" t="s">
        <v>3180</v>
      </c>
      <c r="H298" s="83" t="s">
        <v>3189</v>
      </c>
      <c r="I298" s="83" t="s">
        <v>3188</v>
      </c>
      <c r="J298" s="83" t="s">
        <v>3192</v>
      </c>
      <c r="K298" s="89" t="s">
        <v>3191</v>
      </c>
    </row>
    <row r="299" spans="2:11" x14ac:dyDescent="0.25">
      <c r="B299" s="88">
        <v>294</v>
      </c>
      <c r="C299" s="83" t="s">
        <v>3496</v>
      </c>
      <c r="D299" s="83" t="s">
        <v>3185</v>
      </c>
      <c r="E299" s="83" t="s">
        <v>3190</v>
      </c>
      <c r="F299" s="83" t="s">
        <v>3181</v>
      </c>
      <c r="G299" s="83" t="s">
        <v>3180</v>
      </c>
      <c r="H299" s="83" t="s">
        <v>3189</v>
      </c>
      <c r="I299" s="83" t="s">
        <v>3187</v>
      </c>
      <c r="J299" s="83" t="s">
        <v>3192</v>
      </c>
      <c r="K299" s="89" t="s">
        <v>3191</v>
      </c>
    </row>
    <row r="300" spans="2:11" x14ac:dyDescent="0.25">
      <c r="B300" s="88">
        <v>295</v>
      </c>
      <c r="C300" s="83" t="s">
        <v>3497</v>
      </c>
      <c r="D300" s="83" t="s">
        <v>3185</v>
      </c>
      <c r="E300" s="83" t="s">
        <v>3190</v>
      </c>
      <c r="F300" s="83" t="s">
        <v>3181</v>
      </c>
      <c r="G300" s="83" t="s">
        <v>3180</v>
      </c>
      <c r="H300" s="83" t="s">
        <v>3188</v>
      </c>
      <c r="I300" s="83" t="s">
        <v>3187</v>
      </c>
      <c r="J300" s="83" t="s">
        <v>3192</v>
      </c>
      <c r="K300" s="89" t="s">
        <v>3191</v>
      </c>
    </row>
    <row r="301" spans="2:11" x14ac:dyDescent="0.25">
      <c r="B301" s="88">
        <v>296</v>
      </c>
      <c r="C301" s="83" t="s">
        <v>3498</v>
      </c>
      <c r="D301" s="83" t="s">
        <v>3185</v>
      </c>
      <c r="E301" s="83" t="s">
        <v>3187</v>
      </c>
      <c r="F301" s="83" t="s">
        <v>3181</v>
      </c>
      <c r="G301" s="83" t="s">
        <v>3180</v>
      </c>
      <c r="H301" s="83" t="s">
        <v>3189</v>
      </c>
      <c r="I301" s="83" t="s">
        <v>3188</v>
      </c>
      <c r="J301" s="83" t="s">
        <v>3192</v>
      </c>
      <c r="K301" s="89" t="s">
        <v>3191</v>
      </c>
    </row>
    <row r="302" spans="2:11" x14ac:dyDescent="0.25">
      <c r="B302" s="88">
        <v>297</v>
      </c>
      <c r="C302" s="83" t="s">
        <v>3499</v>
      </c>
      <c r="D302" s="83" t="s">
        <v>3185</v>
      </c>
      <c r="E302" s="83" t="s">
        <v>3190</v>
      </c>
      <c r="F302" s="83" t="s">
        <v>3181</v>
      </c>
      <c r="G302" s="83" t="s">
        <v>3180</v>
      </c>
      <c r="H302" s="83" t="s">
        <v>3188</v>
      </c>
      <c r="I302" s="83" t="s">
        <v>3187</v>
      </c>
      <c r="J302" s="83" t="s">
        <v>3192</v>
      </c>
      <c r="K302" s="89" t="s">
        <v>3189</v>
      </c>
    </row>
    <row r="303" spans="2:11" x14ac:dyDescent="0.25">
      <c r="B303" s="88">
        <v>298</v>
      </c>
      <c r="C303" s="83" t="s">
        <v>3500</v>
      </c>
      <c r="D303" s="83" t="s">
        <v>3185</v>
      </c>
      <c r="E303" s="83" t="s">
        <v>3190</v>
      </c>
      <c r="F303" s="83" t="s">
        <v>3181</v>
      </c>
      <c r="G303" s="83" t="s">
        <v>3180</v>
      </c>
      <c r="H303" s="83" t="s">
        <v>3188</v>
      </c>
      <c r="I303" s="83" t="s">
        <v>3187</v>
      </c>
      <c r="J303" s="83" t="s">
        <v>3189</v>
      </c>
      <c r="K303" s="89" t="s">
        <v>3191</v>
      </c>
    </row>
    <row r="304" spans="2:11" x14ac:dyDescent="0.25">
      <c r="B304" s="88">
        <v>299</v>
      </c>
      <c r="C304" s="83" t="s">
        <v>3501</v>
      </c>
      <c r="D304" s="83" t="s">
        <v>3185</v>
      </c>
      <c r="E304" s="83" t="s">
        <v>3190</v>
      </c>
      <c r="F304" s="83" t="s">
        <v>3181</v>
      </c>
      <c r="G304" s="83" t="s">
        <v>3180</v>
      </c>
      <c r="H304" s="83" t="s">
        <v>3189</v>
      </c>
      <c r="I304" s="83" t="s">
        <v>3186</v>
      </c>
      <c r="J304" s="83" t="s">
        <v>3192</v>
      </c>
      <c r="K304" s="89" t="s">
        <v>3191</v>
      </c>
    </row>
    <row r="305" spans="2:11" x14ac:dyDescent="0.25">
      <c r="B305" s="88">
        <v>300</v>
      </c>
      <c r="C305" s="83" t="s">
        <v>3502</v>
      </c>
      <c r="D305" s="83" t="s">
        <v>3185</v>
      </c>
      <c r="E305" s="83" t="s">
        <v>3190</v>
      </c>
      <c r="F305" s="83" t="s">
        <v>3181</v>
      </c>
      <c r="G305" s="83" t="s">
        <v>3186</v>
      </c>
      <c r="H305" s="83" t="s">
        <v>3180</v>
      </c>
      <c r="I305" s="83" t="s">
        <v>3188</v>
      </c>
      <c r="J305" s="83" t="s">
        <v>3192</v>
      </c>
      <c r="K305" s="89" t="s">
        <v>3191</v>
      </c>
    </row>
    <row r="306" spans="2:11" x14ac:dyDescent="0.25">
      <c r="B306" s="88">
        <v>301</v>
      </c>
      <c r="C306" s="83" t="s">
        <v>3503</v>
      </c>
      <c r="D306" s="83" t="s">
        <v>3185</v>
      </c>
      <c r="E306" s="83" t="s">
        <v>3189</v>
      </c>
      <c r="F306" s="83" t="s">
        <v>3181</v>
      </c>
      <c r="G306" s="83" t="s">
        <v>3186</v>
      </c>
      <c r="H306" s="83" t="s">
        <v>3180</v>
      </c>
      <c r="I306" s="83" t="s">
        <v>3188</v>
      </c>
      <c r="J306" s="83" t="s">
        <v>3192</v>
      </c>
      <c r="K306" s="89" t="s">
        <v>3191</v>
      </c>
    </row>
    <row r="307" spans="2:11" x14ac:dyDescent="0.25">
      <c r="B307" s="88">
        <v>302</v>
      </c>
      <c r="C307" s="83" t="s">
        <v>3504</v>
      </c>
      <c r="D307" s="83" t="s">
        <v>3185</v>
      </c>
      <c r="E307" s="83" t="s">
        <v>3190</v>
      </c>
      <c r="F307" s="83" t="s">
        <v>3181</v>
      </c>
      <c r="G307" s="83" t="s">
        <v>3186</v>
      </c>
      <c r="H307" s="83" t="s">
        <v>3180</v>
      </c>
      <c r="I307" s="83" t="s">
        <v>3188</v>
      </c>
      <c r="J307" s="83" t="s">
        <v>3192</v>
      </c>
      <c r="K307" s="89" t="s">
        <v>3189</v>
      </c>
    </row>
    <row r="308" spans="2:11" x14ac:dyDescent="0.25">
      <c r="B308" s="88">
        <v>303</v>
      </c>
      <c r="C308" s="83" t="s">
        <v>3505</v>
      </c>
      <c r="D308" s="83" t="s">
        <v>3185</v>
      </c>
      <c r="E308" s="83" t="s">
        <v>3190</v>
      </c>
      <c r="F308" s="83" t="s">
        <v>3181</v>
      </c>
      <c r="G308" s="83" t="s">
        <v>3186</v>
      </c>
      <c r="H308" s="83" t="s">
        <v>3180</v>
      </c>
      <c r="I308" s="83" t="s">
        <v>3188</v>
      </c>
      <c r="J308" s="83" t="s">
        <v>3189</v>
      </c>
      <c r="K308" s="89" t="s">
        <v>3191</v>
      </c>
    </row>
    <row r="309" spans="2:11" x14ac:dyDescent="0.25">
      <c r="B309" s="88">
        <v>304</v>
      </c>
      <c r="C309" s="83" t="s">
        <v>3506</v>
      </c>
      <c r="D309" s="83" t="s">
        <v>3185</v>
      </c>
      <c r="E309" s="83" t="s">
        <v>3190</v>
      </c>
      <c r="F309" s="83" t="s">
        <v>3181</v>
      </c>
      <c r="G309" s="83" t="s">
        <v>3186</v>
      </c>
      <c r="H309" s="83" t="s">
        <v>3180</v>
      </c>
      <c r="I309" s="83" t="s">
        <v>3187</v>
      </c>
      <c r="J309" s="83" t="s">
        <v>3192</v>
      </c>
      <c r="K309" s="89" t="s">
        <v>3191</v>
      </c>
    </row>
    <row r="310" spans="2:11" x14ac:dyDescent="0.25">
      <c r="B310" s="88">
        <v>305</v>
      </c>
      <c r="C310" s="83" t="s">
        <v>3507</v>
      </c>
      <c r="D310" s="83" t="s">
        <v>3185</v>
      </c>
      <c r="E310" s="83" t="s">
        <v>3187</v>
      </c>
      <c r="F310" s="83" t="s">
        <v>3181</v>
      </c>
      <c r="G310" s="83" t="s">
        <v>3180</v>
      </c>
      <c r="H310" s="83" t="s">
        <v>3189</v>
      </c>
      <c r="I310" s="83" t="s">
        <v>3186</v>
      </c>
      <c r="J310" s="83" t="s">
        <v>3192</v>
      </c>
      <c r="K310" s="89" t="s">
        <v>3191</v>
      </c>
    </row>
    <row r="311" spans="2:11" x14ac:dyDescent="0.25">
      <c r="B311" s="88">
        <v>306</v>
      </c>
      <c r="C311" s="83" t="s">
        <v>3508</v>
      </c>
      <c r="D311" s="83" t="s">
        <v>3185</v>
      </c>
      <c r="E311" s="83" t="s">
        <v>3190</v>
      </c>
      <c r="F311" s="83" t="s">
        <v>3181</v>
      </c>
      <c r="G311" s="83" t="s">
        <v>3186</v>
      </c>
      <c r="H311" s="83" t="s">
        <v>3180</v>
      </c>
      <c r="I311" s="83" t="s">
        <v>3187</v>
      </c>
      <c r="J311" s="83" t="s">
        <v>3192</v>
      </c>
      <c r="K311" s="89" t="s">
        <v>3189</v>
      </c>
    </row>
    <row r="312" spans="2:11" x14ac:dyDescent="0.25">
      <c r="B312" s="88">
        <v>307</v>
      </c>
      <c r="C312" s="83" t="s">
        <v>3509</v>
      </c>
      <c r="D312" s="83" t="s">
        <v>3185</v>
      </c>
      <c r="E312" s="83" t="s">
        <v>3190</v>
      </c>
      <c r="F312" s="83" t="s">
        <v>3181</v>
      </c>
      <c r="G312" s="83" t="s">
        <v>3186</v>
      </c>
      <c r="H312" s="83" t="s">
        <v>3180</v>
      </c>
      <c r="I312" s="83" t="s">
        <v>3187</v>
      </c>
      <c r="J312" s="83" t="s">
        <v>3189</v>
      </c>
      <c r="K312" s="89" t="s">
        <v>3191</v>
      </c>
    </row>
    <row r="313" spans="2:11" x14ac:dyDescent="0.25">
      <c r="B313" s="88">
        <v>308</v>
      </c>
      <c r="C313" s="83" t="s">
        <v>3510</v>
      </c>
      <c r="D313" s="83" t="s">
        <v>3185</v>
      </c>
      <c r="E313" s="83" t="s">
        <v>3187</v>
      </c>
      <c r="F313" s="83" t="s">
        <v>3181</v>
      </c>
      <c r="G313" s="83" t="s">
        <v>3186</v>
      </c>
      <c r="H313" s="83" t="s">
        <v>3180</v>
      </c>
      <c r="I313" s="83" t="s">
        <v>3188</v>
      </c>
      <c r="J313" s="83" t="s">
        <v>3192</v>
      </c>
      <c r="K313" s="89" t="s">
        <v>3191</v>
      </c>
    </row>
    <row r="314" spans="2:11" x14ac:dyDescent="0.25">
      <c r="B314" s="88">
        <v>309</v>
      </c>
      <c r="C314" s="83" t="s">
        <v>3511</v>
      </c>
      <c r="D314" s="83" t="s">
        <v>3188</v>
      </c>
      <c r="E314" s="83" t="s">
        <v>3190</v>
      </c>
      <c r="F314" s="83" t="s">
        <v>3181</v>
      </c>
      <c r="G314" s="83" t="s">
        <v>3186</v>
      </c>
      <c r="H314" s="83" t="s">
        <v>3180</v>
      </c>
      <c r="I314" s="83" t="s">
        <v>3187</v>
      </c>
      <c r="J314" s="83" t="s">
        <v>3192</v>
      </c>
      <c r="K314" s="89" t="s">
        <v>3185</v>
      </c>
    </row>
    <row r="315" spans="2:11" x14ac:dyDescent="0.25">
      <c r="B315" s="88">
        <v>310</v>
      </c>
      <c r="C315" s="83" t="s">
        <v>3512</v>
      </c>
      <c r="D315" s="83" t="s">
        <v>3188</v>
      </c>
      <c r="E315" s="83" t="s">
        <v>3190</v>
      </c>
      <c r="F315" s="83" t="s">
        <v>3181</v>
      </c>
      <c r="G315" s="83" t="s">
        <v>3186</v>
      </c>
      <c r="H315" s="83" t="s">
        <v>3180</v>
      </c>
      <c r="I315" s="83" t="s">
        <v>3187</v>
      </c>
      <c r="J315" s="83" t="s">
        <v>3185</v>
      </c>
      <c r="K315" s="89" t="s">
        <v>3191</v>
      </c>
    </row>
    <row r="316" spans="2:11" x14ac:dyDescent="0.25">
      <c r="B316" s="88">
        <v>311</v>
      </c>
      <c r="C316" s="83" t="s">
        <v>3513</v>
      </c>
      <c r="D316" s="83" t="s">
        <v>3185</v>
      </c>
      <c r="E316" s="83" t="s">
        <v>3187</v>
      </c>
      <c r="F316" s="83" t="s">
        <v>3181</v>
      </c>
      <c r="G316" s="83" t="s">
        <v>3186</v>
      </c>
      <c r="H316" s="83" t="s">
        <v>3180</v>
      </c>
      <c r="I316" s="83" t="s">
        <v>3188</v>
      </c>
      <c r="J316" s="83" t="s">
        <v>3192</v>
      </c>
      <c r="K316" s="89" t="s">
        <v>3189</v>
      </c>
    </row>
    <row r="317" spans="2:11" x14ac:dyDescent="0.25">
      <c r="B317" s="88">
        <v>312</v>
      </c>
      <c r="C317" s="83" t="s">
        <v>3514</v>
      </c>
      <c r="D317" s="83" t="s">
        <v>3185</v>
      </c>
      <c r="E317" s="83" t="s">
        <v>3187</v>
      </c>
      <c r="F317" s="83" t="s">
        <v>3181</v>
      </c>
      <c r="G317" s="83" t="s">
        <v>3186</v>
      </c>
      <c r="H317" s="83" t="s">
        <v>3180</v>
      </c>
      <c r="I317" s="83" t="s">
        <v>3188</v>
      </c>
      <c r="J317" s="83" t="s">
        <v>3189</v>
      </c>
      <c r="K317" s="89" t="s">
        <v>3191</v>
      </c>
    </row>
    <row r="318" spans="2:11" x14ac:dyDescent="0.25">
      <c r="B318" s="88">
        <v>313</v>
      </c>
      <c r="C318" s="83" t="s">
        <v>3515</v>
      </c>
      <c r="D318" s="83" t="s">
        <v>3188</v>
      </c>
      <c r="E318" s="83" t="s">
        <v>3190</v>
      </c>
      <c r="F318" s="83" t="s">
        <v>3181</v>
      </c>
      <c r="G318" s="83" t="s">
        <v>3186</v>
      </c>
      <c r="H318" s="83" t="s">
        <v>3180</v>
      </c>
      <c r="I318" s="83" t="s">
        <v>3187</v>
      </c>
      <c r="J318" s="83" t="s">
        <v>3185</v>
      </c>
      <c r="K318" s="89" t="s">
        <v>3189</v>
      </c>
    </row>
    <row r="319" spans="2:11" x14ac:dyDescent="0.25">
      <c r="B319" s="88">
        <v>314</v>
      </c>
      <c r="C319" s="83" t="s">
        <v>3516</v>
      </c>
      <c r="D319" s="83" t="s">
        <v>3189</v>
      </c>
      <c r="E319" s="83" t="s">
        <v>3190</v>
      </c>
      <c r="F319" s="83" t="s">
        <v>3181</v>
      </c>
      <c r="G319" s="83" t="s">
        <v>3184</v>
      </c>
      <c r="H319" s="83" t="s">
        <v>3180</v>
      </c>
      <c r="I319" s="83" t="s">
        <v>3188</v>
      </c>
      <c r="J319" s="83" t="s">
        <v>3192</v>
      </c>
      <c r="K319" s="89" t="s">
        <v>3191</v>
      </c>
    </row>
    <row r="320" spans="2:11" x14ac:dyDescent="0.25">
      <c r="B320" s="88">
        <v>315</v>
      </c>
      <c r="C320" s="83" t="s">
        <v>3517</v>
      </c>
      <c r="D320" s="83" t="s">
        <v>3189</v>
      </c>
      <c r="E320" s="83" t="s">
        <v>3190</v>
      </c>
      <c r="F320" s="83" t="s">
        <v>3181</v>
      </c>
      <c r="G320" s="83" t="s">
        <v>3184</v>
      </c>
      <c r="H320" s="83" t="s">
        <v>3180</v>
      </c>
      <c r="I320" s="83" t="s">
        <v>3187</v>
      </c>
      <c r="J320" s="83" t="s">
        <v>3192</v>
      </c>
      <c r="K320" s="89" t="s">
        <v>3191</v>
      </c>
    </row>
    <row r="321" spans="2:11" x14ac:dyDescent="0.25">
      <c r="B321" s="88">
        <v>316</v>
      </c>
      <c r="C321" s="83" t="s">
        <v>3518</v>
      </c>
      <c r="D321" s="83" t="s">
        <v>3188</v>
      </c>
      <c r="E321" s="83" t="s">
        <v>3190</v>
      </c>
      <c r="F321" s="83" t="s">
        <v>3181</v>
      </c>
      <c r="G321" s="83" t="s">
        <v>3184</v>
      </c>
      <c r="H321" s="83" t="s">
        <v>3180</v>
      </c>
      <c r="I321" s="83" t="s">
        <v>3187</v>
      </c>
      <c r="J321" s="83" t="s">
        <v>3192</v>
      </c>
      <c r="K321" s="89" t="s">
        <v>3191</v>
      </c>
    </row>
    <row r="322" spans="2:11" x14ac:dyDescent="0.25">
      <c r="B322" s="88">
        <v>317</v>
      </c>
      <c r="C322" s="83" t="s">
        <v>3519</v>
      </c>
      <c r="D322" s="83" t="s">
        <v>3189</v>
      </c>
      <c r="E322" s="83" t="s">
        <v>3187</v>
      </c>
      <c r="F322" s="83" t="s">
        <v>3181</v>
      </c>
      <c r="G322" s="83" t="s">
        <v>3184</v>
      </c>
      <c r="H322" s="83" t="s">
        <v>3180</v>
      </c>
      <c r="I322" s="83" t="s">
        <v>3188</v>
      </c>
      <c r="J322" s="83" t="s">
        <v>3192</v>
      </c>
      <c r="K322" s="89" t="s">
        <v>3191</v>
      </c>
    </row>
    <row r="323" spans="2:11" x14ac:dyDescent="0.25">
      <c r="B323" s="88">
        <v>318</v>
      </c>
      <c r="C323" s="83" t="s">
        <v>3520</v>
      </c>
      <c r="D323" s="83" t="s">
        <v>3188</v>
      </c>
      <c r="E323" s="83" t="s">
        <v>3190</v>
      </c>
      <c r="F323" s="83" t="s">
        <v>3181</v>
      </c>
      <c r="G323" s="83" t="s">
        <v>3184</v>
      </c>
      <c r="H323" s="83" t="s">
        <v>3180</v>
      </c>
      <c r="I323" s="83" t="s">
        <v>3187</v>
      </c>
      <c r="J323" s="83" t="s">
        <v>3192</v>
      </c>
      <c r="K323" s="89" t="s">
        <v>3189</v>
      </c>
    </row>
    <row r="324" spans="2:11" x14ac:dyDescent="0.25">
      <c r="B324" s="88">
        <v>319</v>
      </c>
      <c r="C324" s="83" t="s">
        <v>3521</v>
      </c>
      <c r="D324" s="83" t="s">
        <v>3188</v>
      </c>
      <c r="E324" s="83" t="s">
        <v>3190</v>
      </c>
      <c r="F324" s="83" t="s">
        <v>3181</v>
      </c>
      <c r="G324" s="83" t="s">
        <v>3184</v>
      </c>
      <c r="H324" s="83" t="s">
        <v>3180</v>
      </c>
      <c r="I324" s="83" t="s">
        <v>3187</v>
      </c>
      <c r="J324" s="83" t="s">
        <v>3189</v>
      </c>
      <c r="K324" s="89" t="s">
        <v>3191</v>
      </c>
    </row>
    <row r="325" spans="2:11" x14ac:dyDescent="0.25">
      <c r="B325" s="88">
        <v>320</v>
      </c>
      <c r="C325" s="83" t="s">
        <v>3522</v>
      </c>
      <c r="D325" s="83" t="s">
        <v>3189</v>
      </c>
      <c r="E325" s="83" t="s">
        <v>3190</v>
      </c>
      <c r="F325" s="83" t="s">
        <v>3181</v>
      </c>
      <c r="G325" s="83" t="s">
        <v>3184</v>
      </c>
      <c r="H325" s="83" t="s">
        <v>3180</v>
      </c>
      <c r="I325" s="83" t="s">
        <v>3186</v>
      </c>
      <c r="J325" s="83" t="s">
        <v>3192</v>
      </c>
      <c r="K325" s="89" t="s">
        <v>3191</v>
      </c>
    </row>
    <row r="326" spans="2:11" x14ac:dyDescent="0.25">
      <c r="B326" s="88">
        <v>321</v>
      </c>
      <c r="C326" s="83" t="s">
        <v>3523</v>
      </c>
      <c r="D326" s="83" t="s">
        <v>3188</v>
      </c>
      <c r="E326" s="83" t="s">
        <v>3190</v>
      </c>
      <c r="F326" s="83" t="s">
        <v>3181</v>
      </c>
      <c r="G326" s="83" t="s">
        <v>3184</v>
      </c>
      <c r="H326" s="83" t="s">
        <v>3180</v>
      </c>
      <c r="I326" s="83" t="s">
        <v>3186</v>
      </c>
      <c r="J326" s="83" t="s">
        <v>3192</v>
      </c>
      <c r="K326" s="89" t="s">
        <v>3191</v>
      </c>
    </row>
    <row r="327" spans="2:11" x14ac:dyDescent="0.25">
      <c r="B327" s="88">
        <v>322</v>
      </c>
      <c r="C327" s="83" t="s">
        <v>3524</v>
      </c>
      <c r="D327" s="83" t="s">
        <v>3188</v>
      </c>
      <c r="E327" s="83" t="s">
        <v>3189</v>
      </c>
      <c r="F327" s="83" t="s">
        <v>3181</v>
      </c>
      <c r="G327" s="83" t="s">
        <v>3184</v>
      </c>
      <c r="H327" s="83" t="s">
        <v>3180</v>
      </c>
      <c r="I327" s="83" t="s">
        <v>3186</v>
      </c>
      <c r="J327" s="83" t="s">
        <v>3192</v>
      </c>
      <c r="K327" s="89" t="s">
        <v>3191</v>
      </c>
    </row>
    <row r="328" spans="2:11" x14ac:dyDescent="0.25">
      <c r="B328" s="88">
        <v>323</v>
      </c>
      <c r="C328" s="83" t="s">
        <v>3525</v>
      </c>
      <c r="D328" s="83" t="s">
        <v>3188</v>
      </c>
      <c r="E328" s="83" t="s">
        <v>3190</v>
      </c>
      <c r="F328" s="83" t="s">
        <v>3181</v>
      </c>
      <c r="G328" s="83" t="s">
        <v>3184</v>
      </c>
      <c r="H328" s="83" t="s">
        <v>3180</v>
      </c>
      <c r="I328" s="83" t="s">
        <v>3186</v>
      </c>
      <c r="J328" s="83" t="s">
        <v>3192</v>
      </c>
      <c r="K328" s="89" t="s">
        <v>3189</v>
      </c>
    </row>
    <row r="329" spans="2:11" x14ac:dyDescent="0.25">
      <c r="B329" s="88">
        <v>324</v>
      </c>
      <c r="C329" s="83" t="s">
        <v>3526</v>
      </c>
      <c r="D329" s="83" t="s">
        <v>3188</v>
      </c>
      <c r="E329" s="83" t="s">
        <v>3190</v>
      </c>
      <c r="F329" s="83" t="s">
        <v>3181</v>
      </c>
      <c r="G329" s="83" t="s">
        <v>3184</v>
      </c>
      <c r="H329" s="83" t="s">
        <v>3180</v>
      </c>
      <c r="I329" s="83" t="s">
        <v>3186</v>
      </c>
      <c r="J329" s="83" t="s">
        <v>3189</v>
      </c>
      <c r="K329" s="89" t="s">
        <v>3191</v>
      </c>
    </row>
    <row r="330" spans="2:11" x14ac:dyDescent="0.25">
      <c r="B330" s="88">
        <v>325</v>
      </c>
      <c r="C330" s="83" t="s">
        <v>3527</v>
      </c>
      <c r="D330" s="83" t="s">
        <v>3186</v>
      </c>
      <c r="E330" s="83" t="s">
        <v>3190</v>
      </c>
      <c r="F330" s="83" t="s">
        <v>3181</v>
      </c>
      <c r="G330" s="83" t="s">
        <v>3184</v>
      </c>
      <c r="H330" s="83" t="s">
        <v>3180</v>
      </c>
      <c r="I330" s="83" t="s">
        <v>3187</v>
      </c>
      <c r="J330" s="83" t="s">
        <v>3192</v>
      </c>
      <c r="K330" s="89" t="s">
        <v>3191</v>
      </c>
    </row>
    <row r="331" spans="2:11" x14ac:dyDescent="0.25">
      <c r="B331" s="88">
        <v>326</v>
      </c>
      <c r="C331" s="83" t="s">
        <v>3528</v>
      </c>
      <c r="D331" s="83" t="s">
        <v>3189</v>
      </c>
      <c r="E331" s="83" t="s">
        <v>3187</v>
      </c>
      <c r="F331" s="83" t="s">
        <v>3181</v>
      </c>
      <c r="G331" s="83" t="s">
        <v>3184</v>
      </c>
      <c r="H331" s="83" t="s">
        <v>3180</v>
      </c>
      <c r="I331" s="83" t="s">
        <v>3186</v>
      </c>
      <c r="J331" s="83" t="s">
        <v>3192</v>
      </c>
      <c r="K331" s="89" t="s">
        <v>3191</v>
      </c>
    </row>
    <row r="332" spans="2:11" x14ac:dyDescent="0.25">
      <c r="B332" s="88">
        <v>327</v>
      </c>
      <c r="C332" s="83" t="s">
        <v>3529</v>
      </c>
      <c r="D332" s="83" t="s">
        <v>3186</v>
      </c>
      <c r="E332" s="83" t="s">
        <v>3190</v>
      </c>
      <c r="F332" s="83" t="s">
        <v>3181</v>
      </c>
      <c r="G332" s="83" t="s">
        <v>3184</v>
      </c>
      <c r="H332" s="83" t="s">
        <v>3180</v>
      </c>
      <c r="I332" s="83" t="s">
        <v>3187</v>
      </c>
      <c r="J332" s="83" t="s">
        <v>3192</v>
      </c>
      <c r="K332" s="89" t="s">
        <v>3189</v>
      </c>
    </row>
    <row r="333" spans="2:11" x14ac:dyDescent="0.25">
      <c r="B333" s="88">
        <v>328</v>
      </c>
      <c r="C333" s="83" t="s">
        <v>3530</v>
      </c>
      <c r="D333" s="83" t="s">
        <v>3186</v>
      </c>
      <c r="E333" s="83" t="s">
        <v>3190</v>
      </c>
      <c r="F333" s="83" t="s">
        <v>3181</v>
      </c>
      <c r="G333" s="83" t="s">
        <v>3184</v>
      </c>
      <c r="H333" s="83" t="s">
        <v>3180</v>
      </c>
      <c r="I333" s="83" t="s">
        <v>3187</v>
      </c>
      <c r="J333" s="83" t="s">
        <v>3189</v>
      </c>
      <c r="K333" s="89" t="s">
        <v>3191</v>
      </c>
    </row>
    <row r="334" spans="2:11" x14ac:dyDescent="0.25">
      <c r="B334" s="88">
        <v>329</v>
      </c>
      <c r="C334" s="83" t="s">
        <v>3531</v>
      </c>
      <c r="D334" s="83" t="s">
        <v>3188</v>
      </c>
      <c r="E334" s="83" t="s">
        <v>3187</v>
      </c>
      <c r="F334" s="83" t="s">
        <v>3181</v>
      </c>
      <c r="G334" s="83" t="s">
        <v>3184</v>
      </c>
      <c r="H334" s="83" t="s">
        <v>3180</v>
      </c>
      <c r="I334" s="83" t="s">
        <v>3186</v>
      </c>
      <c r="J334" s="83" t="s">
        <v>3192</v>
      </c>
      <c r="K334" s="89" t="s">
        <v>3191</v>
      </c>
    </row>
    <row r="335" spans="2:11" x14ac:dyDescent="0.25">
      <c r="B335" s="88">
        <v>330</v>
      </c>
      <c r="C335" s="83" t="s">
        <v>3532</v>
      </c>
      <c r="D335" s="83" t="s">
        <v>3188</v>
      </c>
      <c r="E335" s="83" t="s">
        <v>3187</v>
      </c>
      <c r="F335" s="83" t="s">
        <v>3181</v>
      </c>
      <c r="G335" s="83" t="s">
        <v>3184</v>
      </c>
      <c r="H335" s="83" t="s">
        <v>3180</v>
      </c>
      <c r="I335" s="83" t="s">
        <v>3186</v>
      </c>
      <c r="J335" s="83" t="s">
        <v>3192</v>
      </c>
      <c r="K335" s="89" t="s">
        <v>3190</v>
      </c>
    </row>
    <row r="336" spans="2:11" x14ac:dyDescent="0.25">
      <c r="B336" s="88">
        <v>331</v>
      </c>
      <c r="C336" s="83" t="s">
        <v>3533</v>
      </c>
      <c r="D336" s="83" t="s">
        <v>3188</v>
      </c>
      <c r="E336" s="83" t="s">
        <v>3187</v>
      </c>
      <c r="F336" s="83" t="s">
        <v>3181</v>
      </c>
      <c r="G336" s="83" t="s">
        <v>3184</v>
      </c>
      <c r="H336" s="83" t="s">
        <v>3180</v>
      </c>
      <c r="I336" s="83" t="s">
        <v>3186</v>
      </c>
      <c r="J336" s="83" t="s">
        <v>3190</v>
      </c>
      <c r="K336" s="89" t="s">
        <v>3191</v>
      </c>
    </row>
    <row r="337" spans="2:11" x14ac:dyDescent="0.25">
      <c r="B337" s="88">
        <v>332</v>
      </c>
      <c r="C337" s="83" t="s">
        <v>3534</v>
      </c>
      <c r="D337" s="83" t="s">
        <v>3188</v>
      </c>
      <c r="E337" s="83" t="s">
        <v>3187</v>
      </c>
      <c r="F337" s="83" t="s">
        <v>3181</v>
      </c>
      <c r="G337" s="83" t="s">
        <v>3184</v>
      </c>
      <c r="H337" s="83" t="s">
        <v>3180</v>
      </c>
      <c r="I337" s="83" t="s">
        <v>3186</v>
      </c>
      <c r="J337" s="83" t="s">
        <v>3192</v>
      </c>
      <c r="K337" s="89" t="s">
        <v>3189</v>
      </c>
    </row>
    <row r="338" spans="2:11" x14ac:dyDescent="0.25">
      <c r="B338" s="88">
        <v>333</v>
      </c>
      <c r="C338" s="83" t="s">
        <v>3535</v>
      </c>
      <c r="D338" s="83" t="s">
        <v>3188</v>
      </c>
      <c r="E338" s="83" t="s">
        <v>3187</v>
      </c>
      <c r="F338" s="83" t="s">
        <v>3181</v>
      </c>
      <c r="G338" s="83" t="s">
        <v>3184</v>
      </c>
      <c r="H338" s="83" t="s">
        <v>3180</v>
      </c>
      <c r="I338" s="83" t="s">
        <v>3186</v>
      </c>
      <c r="J338" s="83" t="s">
        <v>3189</v>
      </c>
      <c r="K338" s="89" t="s">
        <v>3191</v>
      </c>
    </row>
    <row r="339" spans="2:11" x14ac:dyDescent="0.25">
      <c r="B339" s="88">
        <v>334</v>
      </c>
      <c r="C339" s="83" t="s">
        <v>3536</v>
      </c>
      <c r="D339" s="83" t="s">
        <v>3188</v>
      </c>
      <c r="E339" s="83" t="s">
        <v>3187</v>
      </c>
      <c r="F339" s="83" t="s">
        <v>3181</v>
      </c>
      <c r="G339" s="83" t="s">
        <v>3184</v>
      </c>
      <c r="H339" s="83" t="s">
        <v>3180</v>
      </c>
      <c r="I339" s="83" t="s">
        <v>3186</v>
      </c>
      <c r="J339" s="83" t="s">
        <v>3189</v>
      </c>
      <c r="K339" s="89" t="s">
        <v>3190</v>
      </c>
    </row>
    <row r="340" spans="2:11" x14ac:dyDescent="0.25">
      <c r="B340" s="88">
        <v>335</v>
      </c>
      <c r="C340" s="83" t="s">
        <v>3537</v>
      </c>
      <c r="D340" s="83" t="s">
        <v>3185</v>
      </c>
      <c r="E340" s="83" t="s">
        <v>3190</v>
      </c>
      <c r="F340" s="83" t="s">
        <v>3181</v>
      </c>
      <c r="G340" s="83" t="s">
        <v>3180</v>
      </c>
      <c r="H340" s="83" t="s">
        <v>3189</v>
      </c>
      <c r="I340" s="83" t="s">
        <v>3184</v>
      </c>
      <c r="J340" s="83" t="s">
        <v>3192</v>
      </c>
      <c r="K340" s="89" t="s">
        <v>3191</v>
      </c>
    </row>
    <row r="341" spans="2:11" x14ac:dyDescent="0.25">
      <c r="B341" s="88">
        <v>336</v>
      </c>
      <c r="C341" s="83" t="s">
        <v>3538</v>
      </c>
      <c r="D341" s="83" t="s">
        <v>3185</v>
      </c>
      <c r="E341" s="83" t="s">
        <v>3190</v>
      </c>
      <c r="F341" s="83" t="s">
        <v>3181</v>
      </c>
      <c r="G341" s="83" t="s">
        <v>3184</v>
      </c>
      <c r="H341" s="83" t="s">
        <v>3180</v>
      </c>
      <c r="I341" s="83" t="s">
        <v>3188</v>
      </c>
      <c r="J341" s="83" t="s">
        <v>3192</v>
      </c>
      <c r="K341" s="89" t="s">
        <v>3191</v>
      </c>
    </row>
    <row r="342" spans="2:11" x14ac:dyDescent="0.25">
      <c r="B342" s="88">
        <v>337</v>
      </c>
      <c r="C342" s="83" t="s">
        <v>3539</v>
      </c>
      <c r="D342" s="83" t="s">
        <v>3185</v>
      </c>
      <c r="E342" s="83" t="s">
        <v>3189</v>
      </c>
      <c r="F342" s="83" t="s">
        <v>3181</v>
      </c>
      <c r="G342" s="83" t="s">
        <v>3184</v>
      </c>
      <c r="H342" s="83" t="s">
        <v>3180</v>
      </c>
      <c r="I342" s="83" t="s">
        <v>3188</v>
      </c>
      <c r="J342" s="83" t="s">
        <v>3192</v>
      </c>
      <c r="K342" s="89" t="s">
        <v>3191</v>
      </c>
    </row>
    <row r="343" spans="2:11" x14ac:dyDescent="0.25">
      <c r="B343" s="88">
        <v>338</v>
      </c>
      <c r="C343" s="83" t="s">
        <v>3540</v>
      </c>
      <c r="D343" s="83" t="s">
        <v>3185</v>
      </c>
      <c r="E343" s="83" t="s">
        <v>3190</v>
      </c>
      <c r="F343" s="83" t="s">
        <v>3181</v>
      </c>
      <c r="G343" s="83" t="s">
        <v>3184</v>
      </c>
      <c r="H343" s="83" t="s">
        <v>3180</v>
      </c>
      <c r="I343" s="83" t="s">
        <v>3188</v>
      </c>
      <c r="J343" s="83" t="s">
        <v>3192</v>
      </c>
      <c r="K343" s="89" t="s">
        <v>3189</v>
      </c>
    </row>
    <row r="344" spans="2:11" x14ac:dyDescent="0.25">
      <c r="B344" s="88">
        <v>339</v>
      </c>
      <c r="C344" s="83" t="s">
        <v>3541</v>
      </c>
      <c r="D344" s="83" t="s">
        <v>3185</v>
      </c>
      <c r="E344" s="83" t="s">
        <v>3190</v>
      </c>
      <c r="F344" s="83" t="s">
        <v>3181</v>
      </c>
      <c r="G344" s="83" t="s">
        <v>3184</v>
      </c>
      <c r="H344" s="83" t="s">
        <v>3180</v>
      </c>
      <c r="I344" s="83" t="s">
        <v>3188</v>
      </c>
      <c r="J344" s="83" t="s">
        <v>3189</v>
      </c>
      <c r="K344" s="89" t="s">
        <v>3191</v>
      </c>
    </row>
    <row r="345" spans="2:11" x14ac:dyDescent="0.25">
      <c r="B345" s="88">
        <v>340</v>
      </c>
      <c r="C345" s="83" t="s">
        <v>3542</v>
      </c>
      <c r="D345" s="83" t="s">
        <v>3185</v>
      </c>
      <c r="E345" s="83" t="s">
        <v>3190</v>
      </c>
      <c r="F345" s="83" t="s">
        <v>3181</v>
      </c>
      <c r="G345" s="83" t="s">
        <v>3184</v>
      </c>
      <c r="H345" s="83" t="s">
        <v>3180</v>
      </c>
      <c r="I345" s="83" t="s">
        <v>3187</v>
      </c>
      <c r="J345" s="83" t="s">
        <v>3192</v>
      </c>
      <c r="K345" s="89" t="s">
        <v>3191</v>
      </c>
    </row>
    <row r="346" spans="2:11" x14ac:dyDescent="0.25">
      <c r="B346" s="88">
        <v>341</v>
      </c>
      <c r="C346" s="83" t="s">
        <v>3543</v>
      </c>
      <c r="D346" s="83" t="s">
        <v>3185</v>
      </c>
      <c r="E346" s="83" t="s">
        <v>3187</v>
      </c>
      <c r="F346" s="83" t="s">
        <v>3181</v>
      </c>
      <c r="G346" s="83" t="s">
        <v>3180</v>
      </c>
      <c r="H346" s="83" t="s">
        <v>3189</v>
      </c>
      <c r="I346" s="83" t="s">
        <v>3184</v>
      </c>
      <c r="J346" s="83" t="s">
        <v>3192</v>
      </c>
      <c r="K346" s="89" t="s">
        <v>3191</v>
      </c>
    </row>
    <row r="347" spans="2:11" x14ac:dyDescent="0.25">
      <c r="B347" s="88">
        <v>342</v>
      </c>
      <c r="C347" s="83" t="s">
        <v>3544</v>
      </c>
      <c r="D347" s="83" t="s">
        <v>3185</v>
      </c>
      <c r="E347" s="83" t="s">
        <v>3190</v>
      </c>
      <c r="F347" s="83" t="s">
        <v>3181</v>
      </c>
      <c r="G347" s="83" t="s">
        <v>3184</v>
      </c>
      <c r="H347" s="83" t="s">
        <v>3180</v>
      </c>
      <c r="I347" s="83" t="s">
        <v>3187</v>
      </c>
      <c r="J347" s="83" t="s">
        <v>3192</v>
      </c>
      <c r="K347" s="89" t="s">
        <v>3189</v>
      </c>
    </row>
    <row r="348" spans="2:11" x14ac:dyDescent="0.25">
      <c r="B348" s="88">
        <v>343</v>
      </c>
      <c r="C348" s="83" t="s">
        <v>3545</v>
      </c>
      <c r="D348" s="83" t="s">
        <v>3185</v>
      </c>
      <c r="E348" s="83" t="s">
        <v>3190</v>
      </c>
      <c r="F348" s="83" t="s">
        <v>3181</v>
      </c>
      <c r="G348" s="83" t="s">
        <v>3184</v>
      </c>
      <c r="H348" s="83" t="s">
        <v>3180</v>
      </c>
      <c r="I348" s="83" t="s">
        <v>3187</v>
      </c>
      <c r="J348" s="83" t="s">
        <v>3189</v>
      </c>
      <c r="K348" s="89" t="s">
        <v>3191</v>
      </c>
    </row>
    <row r="349" spans="2:11" x14ac:dyDescent="0.25">
      <c r="B349" s="88">
        <v>344</v>
      </c>
      <c r="C349" s="83" t="s">
        <v>3546</v>
      </c>
      <c r="D349" s="83" t="s">
        <v>3185</v>
      </c>
      <c r="E349" s="83" t="s">
        <v>3187</v>
      </c>
      <c r="F349" s="83" t="s">
        <v>3181</v>
      </c>
      <c r="G349" s="83" t="s">
        <v>3184</v>
      </c>
      <c r="H349" s="83" t="s">
        <v>3180</v>
      </c>
      <c r="I349" s="83" t="s">
        <v>3188</v>
      </c>
      <c r="J349" s="83" t="s">
        <v>3192</v>
      </c>
      <c r="K349" s="89" t="s">
        <v>3191</v>
      </c>
    </row>
    <row r="350" spans="2:11" x14ac:dyDescent="0.25">
      <c r="B350" s="88">
        <v>345</v>
      </c>
      <c r="C350" s="83" t="s">
        <v>3547</v>
      </c>
      <c r="D350" s="83" t="s">
        <v>3188</v>
      </c>
      <c r="E350" s="83" t="s">
        <v>3190</v>
      </c>
      <c r="F350" s="83" t="s">
        <v>3181</v>
      </c>
      <c r="G350" s="83" t="s">
        <v>3184</v>
      </c>
      <c r="H350" s="83" t="s">
        <v>3180</v>
      </c>
      <c r="I350" s="83" t="s">
        <v>3187</v>
      </c>
      <c r="J350" s="83" t="s">
        <v>3192</v>
      </c>
      <c r="K350" s="89" t="s">
        <v>3185</v>
      </c>
    </row>
    <row r="351" spans="2:11" x14ac:dyDescent="0.25">
      <c r="B351" s="88">
        <v>346</v>
      </c>
      <c r="C351" s="83" t="s">
        <v>3548</v>
      </c>
      <c r="D351" s="83" t="s">
        <v>3188</v>
      </c>
      <c r="E351" s="83" t="s">
        <v>3190</v>
      </c>
      <c r="F351" s="83" t="s">
        <v>3181</v>
      </c>
      <c r="G351" s="83" t="s">
        <v>3184</v>
      </c>
      <c r="H351" s="83" t="s">
        <v>3180</v>
      </c>
      <c r="I351" s="83" t="s">
        <v>3187</v>
      </c>
      <c r="J351" s="83" t="s">
        <v>3185</v>
      </c>
      <c r="K351" s="89" t="s">
        <v>3191</v>
      </c>
    </row>
    <row r="352" spans="2:11" x14ac:dyDescent="0.25">
      <c r="B352" s="88">
        <v>347</v>
      </c>
      <c r="C352" s="83" t="s">
        <v>3549</v>
      </c>
      <c r="D352" s="83" t="s">
        <v>3185</v>
      </c>
      <c r="E352" s="83" t="s">
        <v>3187</v>
      </c>
      <c r="F352" s="83" t="s">
        <v>3181</v>
      </c>
      <c r="G352" s="83" t="s">
        <v>3184</v>
      </c>
      <c r="H352" s="83" t="s">
        <v>3180</v>
      </c>
      <c r="I352" s="83" t="s">
        <v>3188</v>
      </c>
      <c r="J352" s="83" t="s">
        <v>3192</v>
      </c>
      <c r="K352" s="89" t="s">
        <v>3189</v>
      </c>
    </row>
    <row r="353" spans="2:11" x14ac:dyDescent="0.25">
      <c r="B353" s="88">
        <v>348</v>
      </c>
      <c r="C353" s="83" t="s">
        <v>3550</v>
      </c>
      <c r="D353" s="83" t="s">
        <v>3185</v>
      </c>
      <c r="E353" s="83" t="s">
        <v>3187</v>
      </c>
      <c r="F353" s="83" t="s">
        <v>3181</v>
      </c>
      <c r="G353" s="83" t="s">
        <v>3184</v>
      </c>
      <c r="H353" s="83" t="s">
        <v>3180</v>
      </c>
      <c r="I353" s="83" t="s">
        <v>3188</v>
      </c>
      <c r="J353" s="83" t="s">
        <v>3189</v>
      </c>
      <c r="K353" s="89" t="s">
        <v>3191</v>
      </c>
    </row>
    <row r="354" spans="2:11" x14ac:dyDescent="0.25">
      <c r="B354" s="88">
        <v>349</v>
      </c>
      <c r="C354" s="83" t="s">
        <v>3551</v>
      </c>
      <c r="D354" s="83" t="s">
        <v>3188</v>
      </c>
      <c r="E354" s="83" t="s">
        <v>3190</v>
      </c>
      <c r="F354" s="83" t="s">
        <v>3181</v>
      </c>
      <c r="G354" s="83" t="s">
        <v>3184</v>
      </c>
      <c r="H354" s="83" t="s">
        <v>3180</v>
      </c>
      <c r="I354" s="83" t="s">
        <v>3187</v>
      </c>
      <c r="J354" s="83" t="s">
        <v>3185</v>
      </c>
      <c r="K354" s="89" t="s">
        <v>3189</v>
      </c>
    </row>
    <row r="355" spans="2:11" x14ac:dyDescent="0.25">
      <c r="B355" s="88">
        <v>350</v>
      </c>
      <c r="C355" s="83" t="s">
        <v>3552</v>
      </c>
      <c r="D355" s="83" t="s">
        <v>3185</v>
      </c>
      <c r="E355" s="83" t="s">
        <v>3190</v>
      </c>
      <c r="F355" s="83" t="s">
        <v>3181</v>
      </c>
      <c r="G355" s="83" t="s">
        <v>3184</v>
      </c>
      <c r="H355" s="83" t="s">
        <v>3180</v>
      </c>
      <c r="I355" s="83" t="s">
        <v>3186</v>
      </c>
      <c r="J355" s="83" t="s">
        <v>3192</v>
      </c>
      <c r="K355" s="89" t="s">
        <v>3191</v>
      </c>
    </row>
    <row r="356" spans="2:11" x14ac:dyDescent="0.25">
      <c r="B356" s="88">
        <v>351</v>
      </c>
      <c r="C356" s="83" t="s">
        <v>3553</v>
      </c>
      <c r="D356" s="83" t="s">
        <v>3185</v>
      </c>
      <c r="E356" s="83" t="s">
        <v>3189</v>
      </c>
      <c r="F356" s="83" t="s">
        <v>3181</v>
      </c>
      <c r="G356" s="83" t="s">
        <v>3184</v>
      </c>
      <c r="H356" s="83" t="s">
        <v>3180</v>
      </c>
      <c r="I356" s="83" t="s">
        <v>3186</v>
      </c>
      <c r="J356" s="83" t="s">
        <v>3192</v>
      </c>
      <c r="K356" s="89" t="s">
        <v>3191</v>
      </c>
    </row>
    <row r="357" spans="2:11" x14ac:dyDescent="0.25">
      <c r="B357" s="88">
        <v>352</v>
      </c>
      <c r="C357" s="83" t="s">
        <v>3554</v>
      </c>
      <c r="D357" s="83" t="s">
        <v>3185</v>
      </c>
      <c r="E357" s="83" t="s">
        <v>3190</v>
      </c>
      <c r="F357" s="83" t="s">
        <v>3181</v>
      </c>
      <c r="G357" s="83" t="s">
        <v>3184</v>
      </c>
      <c r="H357" s="83" t="s">
        <v>3180</v>
      </c>
      <c r="I357" s="83" t="s">
        <v>3186</v>
      </c>
      <c r="J357" s="83" t="s">
        <v>3192</v>
      </c>
      <c r="K357" s="89" t="s">
        <v>3189</v>
      </c>
    </row>
    <row r="358" spans="2:11" x14ac:dyDescent="0.25">
      <c r="B358" s="88">
        <v>353</v>
      </c>
      <c r="C358" s="83" t="s">
        <v>3555</v>
      </c>
      <c r="D358" s="83" t="s">
        <v>3185</v>
      </c>
      <c r="E358" s="83" t="s">
        <v>3190</v>
      </c>
      <c r="F358" s="83" t="s">
        <v>3181</v>
      </c>
      <c r="G358" s="83" t="s">
        <v>3184</v>
      </c>
      <c r="H358" s="83" t="s">
        <v>3180</v>
      </c>
      <c r="I358" s="83" t="s">
        <v>3186</v>
      </c>
      <c r="J358" s="83" t="s">
        <v>3189</v>
      </c>
      <c r="K358" s="89" t="s">
        <v>3191</v>
      </c>
    </row>
    <row r="359" spans="2:11" x14ac:dyDescent="0.25">
      <c r="B359" s="88">
        <v>354</v>
      </c>
      <c r="C359" s="83" t="s">
        <v>3556</v>
      </c>
      <c r="D359" s="83" t="s">
        <v>3188</v>
      </c>
      <c r="E359" s="83" t="s">
        <v>3185</v>
      </c>
      <c r="F359" s="83" t="s">
        <v>3181</v>
      </c>
      <c r="G359" s="83" t="s">
        <v>3184</v>
      </c>
      <c r="H359" s="83" t="s">
        <v>3180</v>
      </c>
      <c r="I359" s="83" t="s">
        <v>3186</v>
      </c>
      <c r="J359" s="83" t="s">
        <v>3192</v>
      </c>
      <c r="K359" s="89" t="s">
        <v>3191</v>
      </c>
    </row>
    <row r="360" spans="2:11" x14ac:dyDescent="0.25">
      <c r="B360" s="88">
        <v>355</v>
      </c>
      <c r="C360" s="83" t="s">
        <v>3557</v>
      </c>
      <c r="D360" s="83" t="s">
        <v>3188</v>
      </c>
      <c r="E360" s="83" t="s">
        <v>3190</v>
      </c>
      <c r="F360" s="83" t="s">
        <v>3181</v>
      </c>
      <c r="G360" s="83" t="s">
        <v>3184</v>
      </c>
      <c r="H360" s="83" t="s">
        <v>3180</v>
      </c>
      <c r="I360" s="83" t="s">
        <v>3186</v>
      </c>
      <c r="J360" s="83" t="s">
        <v>3192</v>
      </c>
      <c r="K360" s="89" t="s">
        <v>3185</v>
      </c>
    </row>
    <row r="361" spans="2:11" x14ac:dyDescent="0.25">
      <c r="B361" s="88">
        <v>356</v>
      </c>
      <c r="C361" s="83" t="s">
        <v>3558</v>
      </c>
      <c r="D361" s="83" t="s">
        <v>3188</v>
      </c>
      <c r="E361" s="83" t="s">
        <v>3190</v>
      </c>
      <c r="F361" s="83" t="s">
        <v>3181</v>
      </c>
      <c r="G361" s="83" t="s">
        <v>3184</v>
      </c>
      <c r="H361" s="83" t="s">
        <v>3180</v>
      </c>
      <c r="I361" s="83" t="s">
        <v>3186</v>
      </c>
      <c r="J361" s="83" t="s">
        <v>3185</v>
      </c>
      <c r="K361" s="89" t="s">
        <v>3191</v>
      </c>
    </row>
    <row r="362" spans="2:11" x14ac:dyDescent="0.25">
      <c r="B362" s="88">
        <v>357</v>
      </c>
      <c r="C362" s="83" t="s">
        <v>3559</v>
      </c>
      <c r="D362" s="83" t="s">
        <v>3188</v>
      </c>
      <c r="E362" s="83" t="s">
        <v>3185</v>
      </c>
      <c r="F362" s="83" t="s">
        <v>3181</v>
      </c>
      <c r="G362" s="83" t="s">
        <v>3184</v>
      </c>
      <c r="H362" s="83" t="s">
        <v>3180</v>
      </c>
      <c r="I362" s="83" t="s">
        <v>3186</v>
      </c>
      <c r="J362" s="83" t="s">
        <v>3192</v>
      </c>
      <c r="K362" s="89" t="s">
        <v>3189</v>
      </c>
    </row>
    <row r="363" spans="2:11" x14ac:dyDescent="0.25">
      <c r="B363" s="88">
        <v>358</v>
      </c>
      <c r="C363" s="83" t="s">
        <v>3560</v>
      </c>
      <c r="D363" s="83" t="s">
        <v>3188</v>
      </c>
      <c r="E363" s="83" t="s">
        <v>3185</v>
      </c>
      <c r="F363" s="83" t="s">
        <v>3181</v>
      </c>
      <c r="G363" s="83" t="s">
        <v>3184</v>
      </c>
      <c r="H363" s="83" t="s">
        <v>3180</v>
      </c>
      <c r="I363" s="83" t="s">
        <v>3186</v>
      </c>
      <c r="J363" s="83" t="s">
        <v>3189</v>
      </c>
      <c r="K363" s="89" t="s">
        <v>3191</v>
      </c>
    </row>
    <row r="364" spans="2:11" x14ac:dyDescent="0.25">
      <c r="B364" s="88">
        <v>359</v>
      </c>
      <c r="C364" s="83" t="s">
        <v>3561</v>
      </c>
      <c r="D364" s="83" t="s">
        <v>3188</v>
      </c>
      <c r="E364" s="83" t="s">
        <v>3190</v>
      </c>
      <c r="F364" s="83" t="s">
        <v>3181</v>
      </c>
      <c r="G364" s="83" t="s">
        <v>3184</v>
      </c>
      <c r="H364" s="83" t="s">
        <v>3180</v>
      </c>
      <c r="I364" s="83" t="s">
        <v>3186</v>
      </c>
      <c r="J364" s="83" t="s">
        <v>3185</v>
      </c>
      <c r="K364" s="89" t="s">
        <v>3189</v>
      </c>
    </row>
    <row r="365" spans="2:11" x14ac:dyDescent="0.25">
      <c r="B365" s="88">
        <v>360</v>
      </c>
      <c r="C365" s="83" t="s">
        <v>3562</v>
      </c>
      <c r="D365" s="83" t="s">
        <v>3185</v>
      </c>
      <c r="E365" s="83" t="s">
        <v>3187</v>
      </c>
      <c r="F365" s="83" t="s">
        <v>3181</v>
      </c>
      <c r="G365" s="83" t="s">
        <v>3184</v>
      </c>
      <c r="H365" s="83" t="s">
        <v>3180</v>
      </c>
      <c r="I365" s="83" t="s">
        <v>3186</v>
      </c>
      <c r="J365" s="83" t="s">
        <v>3192</v>
      </c>
      <c r="K365" s="89" t="s">
        <v>3191</v>
      </c>
    </row>
    <row r="366" spans="2:11" x14ac:dyDescent="0.25">
      <c r="B366" s="88">
        <v>361</v>
      </c>
      <c r="C366" s="83" t="s">
        <v>3563</v>
      </c>
      <c r="D366" s="83" t="s">
        <v>3185</v>
      </c>
      <c r="E366" s="83" t="s">
        <v>3187</v>
      </c>
      <c r="F366" s="83" t="s">
        <v>3181</v>
      </c>
      <c r="G366" s="83" t="s">
        <v>3184</v>
      </c>
      <c r="H366" s="83" t="s">
        <v>3180</v>
      </c>
      <c r="I366" s="83" t="s">
        <v>3186</v>
      </c>
      <c r="J366" s="83" t="s">
        <v>3192</v>
      </c>
      <c r="K366" s="89" t="s">
        <v>3190</v>
      </c>
    </row>
    <row r="367" spans="2:11" x14ac:dyDescent="0.25">
      <c r="B367" s="88">
        <v>362</v>
      </c>
      <c r="C367" s="83" t="s">
        <v>3564</v>
      </c>
      <c r="D367" s="83" t="s">
        <v>3185</v>
      </c>
      <c r="E367" s="83" t="s">
        <v>3187</v>
      </c>
      <c r="F367" s="83" t="s">
        <v>3181</v>
      </c>
      <c r="G367" s="83" t="s">
        <v>3184</v>
      </c>
      <c r="H367" s="83" t="s">
        <v>3180</v>
      </c>
      <c r="I367" s="83" t="s">
        <v>3186</v>
      </c>
      <c r="J367" s="83" t="s">
        <v>3190</v>
      </c>
      <c r="K367" s="89" t="s">
        <v>3191</v>
      </c>
    </row>
    <row r="368" spans="2:11" x14ac:dyDescent="0.25">
      <c r="B368" s="88">
        <v>363</v>
      </c>
      <c r="C368" s="83" t="s">
        <v>3565</v>
      </c>
      <c r="D368" s="83" t="s">
        <v>3185</v>
      </c>
      <c r="E368" s="83" t="s">
        <v>3187</v>
      </c>
      <c r="F368" s="83" t="s">
        <v>3181</v>
      </c>
      <c r="G368" s="83" t="s">
        <v>3184</v>
      </c>
      <c r="H368" s="83" t="s">
        <v>3180</v>
      </c>
      <c r="I368" s="83" t="s">
        <v>3186</v>
      </c>
      <c r="J368" s="83" t="s">
        <v>3192</v>
      </c>
      <c r="K368" s="89" t="s">
        <v>3189</v>
      </c>
    </row>
    <row r="369" spans="2:11" x14ac:dyDescent="0.25">
      <c r="B369" s="88">
        <v>364</v>
      </c>
      <c r="C369" s="83" t="s">
        <v>3566</v>
      </c>
      <c r="D369" s="83" t="s">
        <v>3185</v>
      </c>
      <c r="E369" s="83" t="s">
        <v>3187</v>
      </c>
      <c r="F369" s="83" t="s">
        <v>3181</v>
      </c>
      <c r="G369" s="83" t="s">
        <v>3184</v>
      </c>
      <c r="H369" s="83" t="s">
        <v>3180</v>
      </c>
      <c r="I369" s="83" t="s">
        <v>3186</v>
      </c>
      <c r="J369" s="83" t="s">
        <v>3189</v>
      </c>
      <c r="K369" s="89" t="s">
        <v>3191</v>
      </c>
    </row>
    <row r="370" spans="2:11" x14ac:dyDescent="0.25">
      <c r="B370" s="88">
        <v>365</v>
      </c>
      <c r="C370" s="83" t="s">
        <v>3567</v>
      </c>
      <c r="D370" s="83" t="s">
        <v>3185</v>
      </c>
      <c r="E370" s="83" t="s">
        <v>3187</v>
      </c>
      <c r="F370" s="83" t="s">
        <v>3181</v>
      </c>
      <c r="G370" s="83" t="s">
        <v>3184</v>
      </c>
      <c r="H370" s="83" t="s">
        <v>3180</v>
      </c>
      <c r="I370" s="83" t="s">
        <v>3186</v>
      </c>
      <c r="J370" s="83" t="s">
        <v>3189</v>
      </c>
      <c r="K370" s="89" t="s">
        <v>3190</v>
      </c>
    </row>
    <row r="371" spans="2:11" x14ac:dyDescent="0.25">
      <c r="B371" s="88">
        <v>366</v>
      </c>
      <c r="C371" s="83" t="s">
        <v>3568</v>
      </c>
      <c r="D371" s="83" t="s">
        <v>3188</v>
      </c>
      <c r="E371" s="83" t="s">
        <v>3187</v>
      </c>
      <c r="F371" s="83" t="s">
        <v>3181</v>
      </c>
      <c r="G371" s="83" t="s">
        <v>3184</v>
      </c>
      <c r="H371" s="83" t="s">
        <v>3180</v>
      </c>
      <c r="I371" s="83" t="s">
        <v>3186</v>
      </c>
      <c r="J371" s="83" t="s">
        <v>3192</v>
      </c>
      <c r="K371" s="89" t="s">
        <v>3185</v>
      </c>
    </row>
    <row r="372" spans="2:11" x14ac:dyDescent="0.25">
      <c r="B372" s="88">
        <v>367</v>
      </c>
      <c r="C372" s="83" t="s">
        <v>3569</v>
      </c>
      <c r="D372" s="83" t="s">
        <v>3188</v>
      </c>
      <c r="E372" s="83" t="s">
        <v>3187</v>
      </c>
      <c r="F372" s="83" t="s">
        <v>3181</v>
      </c>
      <c r="G372" s="83" t="s">
        <v>3184</v>
      </c>
      <c r="H372" s="83" t="s">
        <v>3180</v>
      </c>
      <c r="I372" s="83" t="s">
        <v>3186</v>
      </c>
      <c r="J372" s="83" t="s">
        <v>3185</v>
      </c>
      <c r="K372" s="89" t="s">
        <v>3191</v>
      </c>
    </row>
    <row r="373" spans="2:11" x14ac:dyDescent="0.25">
      <c r="B373" s="88">
        <v>368</v>
      </c>
      <c r="C373" s="83" t="s">
        <v>3570</v>
      </c>
      <c r="D373" s="83" t="s">
        <v>3188</v>
      </c>
      <c r="E373" s="83" t="s">
        <v>3187</v>
      </c>
      <c r="F373" s="83" t="s">
        <v>3181</v>
      </c>
      <c r="G373" s="83" t="s">
        <v>3184</v>
      </c>
      <c r="H373" s="83" t="s">
        <v>3180</v>
      </c>
      <c r="I373" s="83" t="s">
        <v>3186</v>
      </c>
      <c r="J373" s="83" t="s">
        <v>3185</v>
      </c>
      <c r="K373" s="89" t="s">
        <v>3190</v>
      </c>
    </row>
    <row r="374" spans="2:11" x14ac:dyDescent="0.25">
      <c r="B374" s="88">
        <v>369</v>
      </c>
      <c r="C374" s="83" t="s">
        <v>3571</v>
      </c>
      <c r="D374" s="83" t="s">
        <v>3188</v>
      </c>
      <c r="E374" s="83" t="s">
        <v>3187</v>
      </c>
      <c r="F374" s="83" t="s">
        <v>3181</v>
      </c>
      <c r="G374" s="83" t="s">
        <v>3184</v>
      </c>
      <c r="H374" s="83" t="s">
        <v>3180</v>
      </c>
      <c r="I374" s="83" t="s">
        <v>3186</v>
      </c>
      <c r="J374" s="83" t="s">
        <v>3185</v>
      </c>
      <c r="K374" s="89" t="s">
        <v>3189</v>
      </c>
    </row>
    <row r="375" spans="2:11" x14ac:dyDescent="0.25">
      <c r="B375" s="88">
        <v>370</v>
      </c>
      <c r="C375" s="83" t="s">
        <v>3572</v>
      </c>
      <c r="D375" s="83" t="s">
        <v>3189</v>
      </c>
      <c r="E375" s="83" t="s">
        <v>3190</v>
      </c>
      <c r="F375" s="83" t="s">
        <v>3181</v>
      </c>
      <c r="G375" s="83" t="s">
        <v>3182</v>
      </c>
      <c r="H375" s="83" t="s">
        <v>3180</v>
      </c>
      <c r="I375" s="83" t="s">
        <v>3188</v>
      </c>
      <c r="J375" s="83" t="s">
        <v>3192</v>
      </c>
      <c r="K375" s="89" t="s">
        <v>3191</v>
      </c>
    </row>
    <row r="376" spans="2:11" x14ac:dyDescent="0.25">
      <c r="B376" s="88">
        <v>371</v>
      </c>
      <c r="C376" s="83" t="s">
        <v>3573</v>
      </c>
      <c r="D376" s="83" t="s">
        <v>3189</v>
      </c>
      <c r="E376" s="83" t="s">
        <v>3190</v>
      </c>
      <c r="F376" s="83" t="s">
        <v>3181</v>
      </c>
      <c r="G376" s="83" t="s">
        <v>3182</v>
      </c>
      <c r="H376" s="83" t="s">
        <v>3180</v>
      </c>
      <c r="I376" s="83" t="s">
        <v>3187</v>
      </c>
      <c r="J376" s="83" t="s">
        <v>3192</v>
      </c>
      <c r="K376" s="89" t="s">
        <v>3191</v>
      </c>
    </row>
    <row r="377" spans="2:11" x14ac:dyDescent="0.25">
      <c r="B377" s="88">
        <v>372</v>
      </c>
      <c r="C377" s="83" t="s">
        <v>3574</v>
      </c>
      <c r="D377" s="83" t="s">
        <v>3188</v>
      </c>
      <c r="E377" s="83" t="s">
        <v>3190</v>
      </c>
      <c r="F377" s="83" t="s">
        <v>3181</v>
      </c>
      <c r="G377" s="83" t="s">
        <v>3182</v>
      </c>
      <c r="H377" s="83" t="s">
        <v>3180</v>
      </c>
      <c r="I377" s="83" t="s">
        <v>3187</v>
      </c>
      <c r="J377" s="83" t="s">
        <v>3192</v>
      </c>
      <c r="K377" s="89" t="s">
        <v>3191</v>
      </c>
    </row>
    <row r="378" spans="2:11" x14ac:dyDescent="0.25">
      <c r="B378" s="88">
        <v>373</v>
      </c>
      <c r="C378" s="83" t="s">
        <v>3575</v>
      </c>
      <c r="D378" s="83" t="s">
        <v>3189</v>
      </c>
      <c r="E378" s="83" t="s">
        <v>3187</v>
      </c>
      <c r="F378" s="83" t="s">
        <v>3181</v>
      </c>
      <c r="G378" s="83" t="s">
        <v>3182</v>
      </c>
      <c r="H378" s="83" t="s">
        <v>3180</v>
      </c>
      <c r="I378" s="83" t="s">
        <v>3188</v>
      </c>
      <c r="J378" s="83" t="s">
        <v>3192</v>
      </c>
      <c r="K378" s="89" t="s">
        <v>3191</v>
      </c>
    </row>
    <row r="379" spans="2:11" x14ac:dyDescent="0.25">
      <c r="B379" s="88">
        <v>374</v>
      </c>
      <c r="C379" s="83" t="s">
        <v>3576</v>
      </c>
      <c r="D379" s="83" t="s">
        <v>3188</v>
      </c>
      <c r="E379" s="83" t="s">
        <v>3190</v>
      </c>
      <c r="F379" s="83" t="s">
        <v>3181</v>
      </c>
      <c r="G379" s="83" t="s">
        <v>3182</v>
      </c>
      <c r="H379" s="83" t="s">
        <v>3180</v>
      </c>
      <c r="I379" s="83" t="s">
        <v>3187</v>
      </c>
      <c r="J379" s="83" t="s">
        <v>3192</v>
      </c>
      <c r="K379" s="89" t="s">
        <v>3189</v>
      </c>
    </row>
    <row r="380" spans="2:11" x14ac:dyDescent="0.25">
      <c r="B380" s="88">
        <v>375</v>
      </c>
      <c r="C380" s="83" t="s">
        <v>3577</v>
      </c>
      <c r="D380" s="83" t="s">
        <v>3188</v>
      </c>
      <c r="E380" s="83" t="s">
        <v>3190</v>
      </c>
      <c r="F380" s="83" t="s">
        <v>3181</v>
      </c>
      <c r="G380" s="83" t="s">
        <v>3182</v>
      </c>
      <c r="H380" s="83" t="s">
        <v>3180</v>
      </c>
      <c r="I380" s="83" t="s">
        <v>3187</v>
      </c>
      <c r="J380" s="83" t="s">
        <v>3189</v>
      </c>
      <c r="K380" s="89" t="s">
        <v>3191</v>
      </c>
    </row>
    <row r="381" spans="2:11" x14ac:dyDescent="0.25">
      <c r="B381" s="88">
        <v>376</v>
      </c>
      <c r="C381" s="83" t="s">
        <v>3578</v>
      </c>
      <c r="D381" s="83" t="s">
        <v>3189</v>
      </c>
      <c r="E381" s="83" t="s">
        <v>3190</v>
      </c>
      <c r="F381" s="83" t="s">
        <v>3181</v>
      </c>
      <c r="G381" s="83" t="s">
        <v>3182</v>
      </c>
      <c r="H381" s="83" t="s">
        <v>3180</v>
      </c>
      <c r="I381" s="83" t="s">
        <v>3186</v>
      </c>
      <c r="J381" s="83" t="s">
        <v>3192</v>
      </c>
      <c r="K381" s="89" t="s">
        <v>3191</v>
      </c>
    </row>
    <row r="382" spans="2:11" x14ac:dyDescent="0.25">
      <c r="B382" s="88">
        <v>377</v>
      </c>
      <c r="C382" s="83" t="s">
        <v>3579</v>
      </c>
      <c r="D382" s="83" t="s">
        <v>3188</v>
      </c>
      <c r="E382" s="83" t="s">
        <v>3190</v>
      </c>
      <c r="F382" s="83" t="s">
        <v>3181</v>
      </c>
      <c r="G382" s="83" t="s">
        <v>3182</v>
      </c>
      <c r="H382" s="83" t="s">
        <v>3180</v>
      </c>
      <c r="I382" s="83" t="s">
        <v>3186</v>
      </c>
      <c r="J382" s="83" t="s">
        <v>3192</v>
      </c>
      <c r="K382" s="89" t="s">
        <v>3191</v>
      </c>
    </row>
    <row r="383" spans="2:11" x14ac:dyDescent="0.25">
      <c r="B383" s="88">
        <v>378</v>
      </c>
      <c r="C383" s="83" t="s">
        <v>3580</v>
      </c>
      <c r="D383" s="83" t="s">
        <v>3188</v>
      </c>
      <c r="E383" s="83" t="s">
        <v>3189</v>
      </c>
      <c r="F383" s="83" t="s">
        <v>3181</v>
      </c>
      <c r="G383" s="83" t="s">
        <v>3182</v>
      </c>
      <c r="H383" s="83" t="s">
        <v>3180</v>
      </c>
      <c r="I383" s="83" t="s">
        <v>3186</v>
      </c>
      <c r="J383" s="83" t="s">
        <v>3192</v>
      </c>
      <c r="K383" s="89" t="s">
        <v>3191</v>
      </c>
    </row>
    <row r="384" spans="2:11" x14ac:dyDescent="0.25">
      <c r="B384" s="88">
        <v>379</v>
      </c>
      <c r="C384" s="83" t="s">
        <v>3581</v>
      </c>
      <c r="D384" s="83" t="s">
        <v>3188</v>
      </c>
      <c r="E384" s="83" t="s">
        <v>3190</v>
      </c>
      <c r="F384" s="83" t="s">
        <v>3181</v>
      </c>
      <c r="G384" s="83" t="s">
        <v>3182</v>
      </c>
      <c r="H384" s="83" t="s">
        <v>3180</v>
      </c>
      <c r="I384" s="83" t="s">
        <v>3186</v>
      </c>
      <c r="J384" s="83" t="s">
        <v>3192</v>
      </c>
      <c r="K384" s="89" t="s">
        <v>3189</v>
      </c>
    </row>
    <row r="385" spans="2:11" x14ac:dyDescent="0.25">
      <c r="B385" s="88">
        <v>380</v>
      </c>
      <c r="C385" s="83" t="s">
        <v>3582</v>
      </c>
      <c r="D385" s="83" t="s">
        <v>3188</v>
      </c>
      <c r="E385" s="83" t="s">
        <v>3190</v>
      </c>
      <c r="F385" s="83" t="s">
        <v>3181</v>
      </c>
      <c r="G385" s="83" t="s">
        <v>3182</v>
      </c>
      <c r="H385" s="83" t="s">
        <v>3180</v>
      </c>
      <c r="I385" s="83" t="s">
        <v>3186</v>
      </c>
      <c r="J385" s="83" t="s">
        <v>3189</v>
      </c>
      <c r="K385" s="89" t="s">
        <v>3191</v>
      </c>
    </row>
    <row r="386" spans="2:11" x14ac:dyDescent="0.25">
      <c r="B386" s="88">
        <v>381</v>
      </c>
      <c r="C386" s="83" t="s">
        <v>3583</v>
      </c>
      <c r="D386" s="83" t="s">
        <v>3182</v>
      </c>
      <c r="E386" s="83" t="s">
        <v>3190</v>
      </c>
      <c r="F386" s="83" t="s">
        <v>3181</v>
      </c>
      <c r="G386" s="83" t="s">
        <v>3186</v>
      </c>
      <c r="H386" s="83" t="s">
        <v>3180</v>
      </c>
      <c r="I386" s="83" t="s">
        <v>3187</v>
      </c>
      <c r="J386" s="83" t="s">
        <v>3192</v>
      </c>
      <c r="K386" s="89" t="s">
        <v>3191</v>
      </c>
    </row>
    <row r="387" spans="2:11" x14ac:dyDescent="0.25">
      <c r="B387" s="88">
        <v>382</v>
      </c>
      <c r="C387" s="83" t="s">
        <v>3584</v>
      </c>
      <c r="D387" s="83" t="s">
        <v>3189</v>
      </c>
      <c r="E387" s="83" t="s">
        <v>3187</v>
      </c>
      <c r="F387" s="83" t="s">
        <v>3181</v>
      </c>
      <c r="G387" s="83" t="s">
        <v>3182</v>
      </c>
      <c r="H387" s="83" t="s">
        <v>3180</v>
      </c>
      <c r="I387" s="83" t="s">
        <v>3186</v>
      </c>
      <c r="J387" s="83" t="s">
        <v>3192</v>
      </c>
      <c r="K387" s="89" t="s">
        <v>3191</v>
      </c>
    </row>
    <row r="388" spans="2:11" x14ac:dyDescent="0.25">
      <c r="B388" s="88">
        <v>383</v>
      </c>
      <c r="C388" s="83" t="s">
        <v>3585</v>
      </c>
      <c r="D388" s="83" t="s">
        <v>3182</v>
      </c>
      <c r="E388" s="83" t="s">
        <v>3190</v>
      </c>
      <c r="F388" s="83" t="s">
        <v>3181</v>
      </c>
      <c r="G388" s="83" t="s">
        <v>3186</v>
      </c>
      <c r="H388" s="83" t="s">
        <v>3180</v>
      </c>
      <c r="I388" s="83" t="s">
        <v>3187</v>
      </c>
      <c r="J388" s="83" t="s">
        <v>3192</v>
      </c>
      <c r="K388" s="89" t="s">
        <v>3189</v>
      </c>
    </row>
    <row r="389" spans="2:11" x14ac:dyDescent="0.25">
      <c r="B389" s="88">
        <v>384</v>
      </c>
      <c r="C389" s="83" t="s">
        <v>3586</v>
      </c>
      <c r="D389" s="83" t="s">
        <v>3182</v>
      </c>
      <c r="E389" s="83" t="s">
        <v>3190</v>
      </c>
      <c r="F389" s="83" t="s">
        <v>3181</v>
      </c>
      <c r="G389" s="83" t="s">
        <v>3186</v>
      </c>
      <c r="H389" s="83" t="s">
        <v>3180</v>
      </c>
      <c r="I389" s="83" t="s">
        <v>3187</v>
      </c>
      <c r="J389" s="83" t="s">
        <v>3189</v>
      </c>
      <c r="K389" s="89" t="s">
        <v>3191</v>
      </c>
    </row>
    <row r="390" spans="2:11" x14ac:dyDescent="0.25">
      <c r="B390" s="88">
        <v>385</v>
      </c>
      <c r="C390" s="83" t="s">
        <v>3587</v>
      </c>
      <c r="D390" s="83" t="s">
        <v>3188</v>
      </c>
      <c r="E390" s="83" t="s">
        <v>3187</v>
      </c>
      <c r="F390" s="83" t="s">
        <v>3181</v>
      </c>
      <c r="G390" s="83" t="s">
        <v>3182</v>
      </c>
      <c r="H390" s="83" t="s">
        <v>3180</v>
      </c>
      <c r="I390" s="83" t="s">
        <v>3186</v>
      </c>
      <c r="J390" s="83" t="s">
        <v>3192</v>
      </c>
      <c r="K390" s="89" t="s">
        <v>3191</v>
      </c>
    </row>
    <row r="391" spans="2:11" x14ac:dyDescent="0.25">
      <c r="B391" s="88">
        <v>386</v>
      </c>
      <c r="C391" s="83" t="s">
        <v>3588</v>
      </c>
      <c r="D391" s="83" t="s">
        <v>3188</v>
      </c>
      <c r="E391" s="83" t="s">
        <v>3187</v>
      </c>
      <c r="F391" s="83" t="s">
        <v>3181</v>
      </c>
      <c r="G391" s="83" t="s">
        <v>3182</v>
      </c>
      <c r="H391" s="83" t="s">
        <v>3180</v>
      </c>
      <c r="I391" s="83" t="s">
        <v>3186</v>
      </c>
      <c r="J391" s="83" t="s">
        <v>3192</v>
      </c>
      <c r="K391" s="89" t="s">
        <v>3190</v>
      </c>
    </row>
    <row r="392" spans="2:11" x14ac:dyDescent="0.25">
      <c r="B392" s="88">
        <v>387</v>
      </c>
      <c r="C392" s="83" t="s">
        <v>3589</v>
      </c>
      <c r="D392" s="83" t="s">
        <v>3188</v>
      </c>
      <c r="E392" s="83" t="s">
        <v>3187</v>
      </c>
      <c r="F392" s="83" t="s">
        <v>3181</v>
      </c>
      <c r="G392" s="83" t="s">
        <v>3182</v>
      </c>
      <c r="H392" s="83" t="s">
        <v>3180</v>
      </c>
      <c r="I392" s="83" t="s">
        <v>3186</v>
      </c>
      <c r="J392" s="83" t="s">
        <v>3190</v>
      </c>
      <c r="K392" s="89" t="s">
        <v>3191</v>
      </c>
    </row>
    <row r="393" spans="2:11" x14ac:dyDescent="0.25">
      <c r="B393" s="88">
        <v>388</v>
      </c>
      <c r="C393" s="83" t="s">
        <v>3590</v>
      </c>
      <c r="D393" s="83" t="s">
        <v>3188</v>
      </c>
      <c r="E393" s="83" t="s">
        <v>3187</v>
      </c>
      <c r="F393" s="83" t="s">
        <v>3181</v>
      </c>
      <c r="G393" s="83" t="s">
        <v>3182</v>
      </c>
      <c r="H393" s="83" t="s">
        <v>3180</v>
      </c>
      <c r="I393" s="83" t="s">
        <v>3186</v>
      </c>
      <c r="J393" s="83" t="s">
        <v>3192</v>
      </c>
      <c r="K393" s="89" t="s">
        <v>3189</v>
      </c>
    </row>
    <row r="394" spans="2:11" x14ac:dyDescent="0.25">
      <c r="B394" s="88">
        <v>389</v>
      </c>
      <c r="C394" s="83" t="s">
        <v>3591</v>
      </c>
      <c r="D394" s="83" t="s">
        <v>3188</v>
      </c>
      <c r="E394" s="83" t="s">
        <v>3187</v>
      </c>
      <c r="F394" s="83" t="s">
        <v>3181</v>
      </c>
      <c r="G394" s="83" t="s">
        <v>3182</v>
      </c>
      <c r="H394" s="83" t="s">
        <v>3180</v>
      </c>
      <c r="I394" s="83" t="s">
        <v>3186</v>
      </c>
      <c r="J394" s="83" t="s">
        <v>3189</v>
      </c>
      <c r="K394" s="89" t="s">
        <v>3191</v>
      </c>
    </row>
    <row r="395" spans="2:11" x14ac:dyDescent="0.25">
      <c r="B395" s="88">
        <v>390</v>
      </c>
      <c r="C395" s="83" t="s">
        <v>3592</v>
      </c>
      <c r="D395" s="83" t="s">
        <v>3188</v>
      </c>
      <c r="E395" s="83" t="s">
        <v>3187</v>
      </c>
      <c r="F395" s="83" t="s">
        <v>3181</v>
      </c>
      <c r="G395" s="83" t="s">
        <v>3182</v>
      </c>
      <c r="H395" s="83" t="s">
        <v>3180</v>
      </c>
      <c r="I395" s="83" t="s">
        <v>3186</v>
      </c>
      <c r="J395" s="83" t="s">
        <v>3189</v>
      </c>
      <c r="K395" s="89" t="s">
        <v>3190</v>
      </c>
    </row>
    <row r="396" spans="2:11" x14ac:dyDescent="0.25">
      <c r="B396" s="88">
        <v>391</v>
      </c>
      <c r="C396" s="83" t="s">
        <v>3593</v>
      </c>
      <c r="D396" s="83" t="s">
        <v>3185</v>
      </c>
      <c r="E396" s="83" t="s">
        <v>3190</v>
      </c>
      <c r="F396" s="83" t="s">
        <v>3181</v>
      </c>
      <c r="G396" s="83" t="s">
        <v>3180</v>
      </c>
      <c r="H396" s="83" t="s">
        <v>3189</v>
      </c>
      <c r="I396" s="83" t="s">
        <v>3182</v>
      </c>
      <c r="J396" s="83" t="s">
        <v>3192</v>
      </c>
      <c r="K396" s="89" t="s">
        <v>3191</v>
      </c>
    </row>
    <row r="397" spans="2:11" x14ac:dyDescent="0.25">
      <c r="B397" s="88">
        <v>392</v>
      </c>
      <c r="C397" s="83" t="s">
        <v>3594</v>
      </c>
      <c r="D397" s="83" t="s">
        <v>3185</v>
      </c>
      <c r="E397" s="83" t="s">
        <v>3190</v>
      </c>
      <c r="F397" s="83" t="s">
        <v>3181</v>
      </c>
      <c r="G397" s="83" t="s">
        <v>3182</v>
      </c>
      <c r="H397" s="83" t="s">
        <v>3180</v>
      </c>
      <c r="I397" s="83" t="s">
        <v>3188</v>
      </c>
      <c r="J397" s="83" t="s">
        <v>3192</v>
      </c>
      <c r="K397" s="89" t="s">
        <v>3191</v>
      </c>
    </row>
    <row r="398" spans="2:11" x14ac:dyDescent="0.25">
      <c r="B398" s="88">
        <v>393</v>
      </c>
      <c r="C398" s="83" t="s">
        <v>3595</v>
      </c>
      <c r="D398" s="83" t="s">
        <v>3185</v>
      </c>
      <c r="E398" s="83" t="s">
        <v>3189</v>
      </c>
      <c r="F398" s="83" t="s">
        <v>3181</v>
      </c>
      <c r="G398" s="83" t="s">
        <v>3182</v>
      </c>
      <c r="H398" s="83" t="s">
        <v>3180</v>
      </c>
      <c r="I398" s="83" t="s">
        <v>3188</v>
      </c>
      <c r="J398" s="83" t="s">
        <v>3192</v>
      </c>
      <c r="K398" s="89" t="s">
        <v>3191</v>
      </c>
    </row>
    <row r="399" spans="2:11" x14ac:dyDescent="0.25">
      <c r="B399" s="88">
        <v>394</v>
      </c>
      <c r="C399" s="83" t="s">
        <v>3596</v>
      </c>
      <c r="D399" s="83" t="s">
        <v>3185</v>
      </c>
      <c r="E399" s="83" t="s">
        <v>3190</v>
      </c>
      <c r="F399" s="83" t="s">
        <v>3181</v>
      </c>
      <c r="G399" s="83" t="s">
        <v>3182</v>
      </c>
      <c r="H399" s="83" t="s">
        <v>3180</v>
      </c>
      <c r="I399" s="83" t="s">
        <v>3188</v>
      </c>
      <c r="J399" s="83" t="s">
        <v>3192</v>
      </c>
      <c r="K399" s="89" t="s">
        <v>3189</v>
      </c>
    </row>
    <row r="400" spans="2:11" x14ac:dyDescent="0.25">
      <c r="B400" s="88">
        <v>395</v>
      </c>
      <c r="C400" s="83" t="s">
        <v>3597</v>
      </c>
      <c r="D400" s="83" t="s">
        <v>3185</v>
      </c>
      <c r="E400" s="83" t="s">
        <v>3190</v>
      </c>
      <c r="F400" s="83" t="s">
        <v>3181</v>
      </c>
      <c r="G400" s="83" t="s">
        <v>3182</v>
      </c>
      <c r="H400" s="83" t="s">
        <v>3180</v>
      </c>
      <c r="I400" s="83" t="s">
        <v>3188</v>
      </c>
      <c r="J400" s="83" t="s">
        <v>3189</v>
      </c>
      <c r="K400" s="89" t="s">
        <v>3191</v>
      </c>
    </row>
    <row r="401" spans="2:11" x14ac:dyDescent="0.25">
      <c r="B401" s="88">
        <v>396</v>
      </c>
      <c r="C401" s="83" t="s">
        <v>3598</v>
      </c>
      <c r="D401" s="83" t="s">
        <v>3185</v>
      </c>
      <c r="E401" s="83" t="s">
        <v>3190</v>
      </c>
      <c r="F401" s="83" t="s">
        <v>3181</v>
      </c>
      <c r="G401" s="83" t="s">
        <v>3182</v>
      </c>
      <c r="H401" s="83" t="s">
        <v>3180</v>
      </c>
      <c r="I401" s="83" t="s">
        <v>3187</v>
      </c>
      <c r="J401" s="83" t="s">
        <v>3192</v>
      </c>
      <c r="K401" s="89" t="s">
        <v>3191</v>
      </c>
    </row>
    <row r="402" spans="2:11" x14ac:dyDescent="0.25">
      <c r="B402" s="88">
        <v>397</v>
      </c>
      <c r="C402" s="83" t="s">
        <v>3599</v>
      </c>
      <c r="D402" s="83" t="s">
        <v>3185</v>
      </c>
      <c r="E402" s="83" t="s">
        <v>3187</v>
      </c>
      <c r="F402" s="83" t="s">
        <v>3181</v>
      </c>
      <c r="G402" s="83" t="s">
        <v>3180</v>
      </c>
      <c r="H402" s="83" t="s">
        <v>3189</v>
      </c>
      <c r="I402" s="83" t="s">
        <v>3182</v>
      </c>
      <c r="J402" s="83" t="s">
        <v>3192</v>
      </c>
      <c r="K402" s="89" t="s">
        <v>3191</v>
      </c>
    </row>
    <row r="403" spans="2:11" x14ac:dyDescent="0.25">
      <c r="B403" s="88">
        <v>398</v>
      </c>
      <c r="C403" s="83" t="s">
        <v>3600</v>
      </c>
      <c r="D403" s="83" t="s">
        <v>3185</v>
      </c>
      <c r="E403" s="83" t="s">
        <v>3190</v>
      </c>
      <c r="F403" s="83" t="s">
        <v>3181</v>
      </c>
      <c r="G403" s="83" t="s">
        <v>3182</v>
      </c>
      <c r="H403" s="83" t="s">
        <v>3180</v>
      </c>
      <c r="I403" s="83" t="s">
        <v>3187</v>
      </c>
      <c r="J403" s="83" t="s">
        <v>3192</v>
      </c>
      <c r="K403" s="89" t="s">
        <v>3189</v>
      </c>
    </row>
    <row r="404" spans="2:11" x14ac:dyDescent="0.25">
      <c r="B404" s="88">
        <v>399</v>
      </c>
      <c r="C404" s="83" t="s">
        <v>3601</v>
      </c>
      <c r="D404" s="83" t="s">
        <v>3185</v>
      </c>
      <c r="E404" s="83" t="s">
        <v>3190</v>
      </c>
      <c r="F404" s="83" t="s">
        <v>3181</v>
      </c>
      <c r="G404" s="83" t="s">
        <v>3182</v>
      </c>
      <c r="H404" s="83" t="s">
        <v>3180</v>
      </c>
      <c r="I404" s="83" t="s">
        <v>3187</v>
      </c>
      <c r="J404" s="83" t="s">
        <v>3189</v>
      </c>
      <c r="K404" s="89" t="s">
        <v>3191</v>
      </c>
    </row>
    <row r="405" spans="2:11" x14ac:dyDescent="0.25">
      <c r="B405" s="88">
        <v>400</v>
      </c>
      <c r="C405" s="83" t="s">
        <v>3602</v>
      </c>
      <c r="D405" s="83" t="s">
        <v>3185</v>
      </c>
      <c r="E405" s="83" t="s">
        <v>3187</v>
      </c>
      <c r="F405" s="83" t="s">
        <v>3181</v>
      </c>
      <c r="G405" s="83" t="s">
        <v>3182</v>
      </c>
      <c r="H405" s="83" t="s">
        <v>3180</v>
      </c>
      <c r="I405" s="83" t="s">
        <v>3188</v>
      </c>
      <c r="J405" s="83" t="s">
        <v>3192</v>
      </c>
      <c r="K405" s="89" t="s">
        <v>3191</v>
      </c>
    </row>
    <row r="406" spans="2:11" x14ac:dyDescent="0.25">
      <c r="B406" s="88">
        <v>401</v>
      </c>
      <c r="C406" s="83" t="s">
        <v>3603</v>
      </c>
      <c r="D406" s="83" t="s">
        <v>3188</v>
      </c>
      <c r="E406" s="83" t="s">
        <v>3190</v>
      </c>
      <c r="F406" s="83" t="s">
        <v>3181</v>
      </c>
      <c r="G406" s="83" t="s">
        <v>3182</v>
      </c>
      <c r="H406" s="83" t="s">
        <v>3180</v>
      </c>
      <c r="I406" s="83" t="s">
        <v>3187</v>
      </c>
      <c r="J406" s="83" t="s">
        <v>3192</v>
      </c>
      <c r="K406" s="89" t="s">
        <v>3185</v>
      </c>
    </row>
    <row r="407" spans="2:11" x14ac:dyDescent="0.25">
      <c r="B407" s="88">
        <v>402</v>
      </c>
      <c r="C407" s="83" t="s">
        <v>3604</v>
      </c>
      <c r="D407" s="83" t="s">
        <v>3188</v>
      </c>
      <c r="E407" s="83" t="s">
        <v>3190</v>
      </c>
      <c r="F407" s="83" t="s">
        <v>3181</v>
      </c>
      <c r="G407" s="83" t="s">
        <v>3182</v>
      </c>
      <c r="H407" s="83" t="s">
        <v>3180</v>
      </c>
      <c r="I407" s="83" t="s">
        <v>3187</v>
      </c>
      <c r="J407" s="83" t="s">
        <v>3185</v>
      </c>
      <c r="K407" s="89" t="s">
        <v>3191</v>
      </c>
    </row>
    <row r="408" spans="2:11" x14ac:dyDescent="0.25">
      <c r="B408" s="88">
        <v>403</v>
      </c>
      <c r="C408" s="83" t="s">
        <v>3605</v>
      </c>
      <c r="D408" s="83" t="s">
        <v>3185</v>
      </c>
      <c r="E408" s="83" t="s">
        <v>3187</v>
      </c>
      <c r="F408" s="83" t="s">
        <v>3181</v>
      </c>
      <c r="G408" s="83" t="s">
        <v>3182</v>
      </c>
      <c r="H408" s="83" t="s">
        <v>3180</v>
      </c>
      <c r="I408" s="83" t="s">
        <v>3188</v>
      </c>
      <c r="J408" s="83" t="s">
        <v>3192</v>
      </c>
      <c r="K408" s="89" t="s">
        <v>3189</v>
      </c>
    </row>
    <row r="409" spans="2:11" x14ac:dyDescent="0.25">
      <c r="B409" s="88">
        <v>404</v>
      </c>
      <c r="C409" s="83" t="s">
        <v>3606</v>
      </c>
      <c r="D409" s="83" t="s">
        <v>3185</v>
      </c>
      <c r="E409" s="83" t="s">
        <v>3187</v>
      </c>
      <c r="F409" s="83" t="s">
        <v>3181</v>
      </c>
      <c r="G409" s="83" t="s">
        <v>3182</v>
      </c>
      <c r="H409" s="83" t="s">
        <v>3180</v>
      </c>
      <c r="I409" s="83" t="s">
        <v>3188</v>
      </c>
      <c r="J409" s="83" t="s">
        <v>3189</v>
      </c>
      <c r="K409" s="89" t="s">
        <v>3191</v>
      </c>
    </row>
    <row r="410" spans="2:11" x14ac:dyDescent="0.25">
      <c r="B410" s="88">
        <v>405</v>
      </c>
      <c r="C410" s="83" t="s">
        <v>3607</v>
      </c>
      <c r="D410" s="83" t="s">
        <v>3188</v>
      </c>
      <c r="E410" s="83" t="s">
        <v>3190</v>
      </c>
      <c r="F410" s="83" t="s">
        <v>3181</v>
      </c>
      <c r="G410" s="83" t="s">
        <v>3182</v>
      </c>
      <c r="H410" s="83" t="s">
        <v>3180</v>
      </c>
      <c r="I410" s="83" t="s">
        <v>3187</v>
      </c>
      <c r="J410" s="83" t="s">
        <v>3185</v>
      </c>
      <c r="K410" s="89" t="s">
        <v>3189</v>
      </c>
    </row>
    <row r="411" spans="2:11" x14ac:dyDescent="0.25">
      <c r="B411" s="88">
        <v>406</v>
      </c>
      <c r="C411" s="83" t="s">
        <v>3608</v>
      </c>
      <c r="D411" s="83" t="s">
        <v>3185</v>
      </c>
      <c r="E411" s="83" t="s">
        <v>3190</v>
      </c>
      <c r="F411" s="83" t="s">
        <v>3181</v>
      </c>
      <c r="G411" s="83" t="s">
        <v>3182</v>
      </c>
      <c r="H411" s="83" t="s">
        <v>3180</v>
      </c>
      <c r="I411" s="83" t="s">
        <v>3186</v>
      </c>
      <c r="J411" s="83" t="s">
        <v>3192</v>
      </c>
      <c r="K411" s="89" t="s">
        <v>3191</v>
      </c>
    </row>
    <row r="412" spans="2:11" x14ac:dyDescent="0.25">
      <c r="B412" s="88">
        <v>407</v>
      </c>
      <c r="C412" s="83" t="s">
        <v>3609</v>
      </c>
      <c r="D412" s="83" t="s">
        <v>3185</v>
      </c>
      <c r="E412" s="83" t="s">
        <v>3189</v>
      </c>
      <c r="F412" s="83" t="s">
        <v>3181</v>
      </c>
      <c r="G412" s="83" t="s">
        <v>3182</v>
      </c>
      <c r="H412" s="83" t="s">
        <v>3180</v>
      </c>
      <c r="I412" s="83" t="s">
        <v>3186</v>
      </c>
      <c r="J412" s="83" t="s">
        <v>3192</v>
      </c>
      <c r="K412" s="89" t="s">
        <v>3191</v>
      </c>
    </row>
    <row r="413" spans="2:11" x14ac:dyDescent="0.25">
      <c r="B413" s="88">
        <v>408</v>
      </c>
      <c r="C413" s="83" t="s">
        <v>3610</v>
      </c>
      <c r="D413" s="83" t="s">
        <v>3185</v>
      </c>
      <c r="E413" s="83" t="s">
        <v>3190</v>
      </c>
      <c r="F413" s="83" t="s">
        <v>3181</v>
      </c>
      <c r="G413" s="83" t="s">
        <v>3182</v>
      </c>
      <c r="H413" s="83" t="s">
        <v>3180</v>
      </c>
      <c r="I413" s="83" t="s">
        <v>3186</v>
      </c>
      <c r="J413" s="83" t="s">
        <v>3192</v>
      </c>
      <c r="K413" s="89" t="s">
        <v>3189</v>
      </c>
    </row>
    <row r="414" spans="2:11" x14ac:dyDescent="0.25">
      <c r="B414" s="88">
        <v>409</v>
      </c>
      <c r="C414" s="83" t="s">
        <v>3611</v>
      </c>
      <c r="D414" s="83" t="s">
        <v>3185</v>
      </c>
      <c r="E414" s="83" t="s">
        <v>3190</v>
      </c>
      <c r="F414" s="83" t="s">
        <v>3181</v>
      </c>
      <c r="G414" s="83" t="s">
        <v>3182</v>
      </c>
      <c r="H414" s="83" t="s">
        <v>3180</v>
      </c>
      <c r="I414" s="83" t="s">
        <v>3186</v>
      </c>
      <c r="J414" s="83" t="s">
        <v>3189</v>
      </c>
      <c r="K414" s="89" t="s">
        <v>3191</v>
      </c>
    </row>
    <row r="415" spans="2:11" x14ac:dyDescent="0.25">
      <c r="B415" s="88">
        <v>410</v>
      </c>
      <c r="C415" s="83" t="s">
        <v>3612</v>
      </c>
      <c r="D415" s="83" t="s">
        <v>3188</v>
      </c>
      <c r="E415" s="83" t="s">
        <v>3185</v>
      </c>
      <c r="F415" s="83" t="s">
        <v>3181</v>
      </c>
      <c r="G415" s="83" t="s">
        <v>3182</v>
      </c>
      <c r="H415" s="83" t="s">
        <v>3180</v>
      </c>
      <c r="I415" s="83" t="s">
        <v>3186</v>
      </c>
      <c r="J415" s="83" t="s">
        <v>3192</v>
      </c>
      <c r="K415" s="89" t="s">
        <v>3191</v>
      </c>
    </row>
    <row r="416" spans="2:11" x14ac:dyDescent="0.25">
      <c r="B416" s="88">
        <v>411</v>
      </c>
      <c r="C416" s="83" t="s">
        <v>3613</v>
      </c>
      <c r="D416" s="83" t="s">
        <v>3188</v>
      </c>
      <c r="E416" s="83" t="s">
        <v>3190</v>
      </c>
      <c r="F416" s="83" t="s">
        <v>3181</v>
      </c>
      <c r="G416" s="83" t="s">
        <v>3182</v>
      </c>
      <c r="H416" s="83" t="s">
        <v>3180</v>
      </c>
      <c r="I416" s="83" t="s">
        <v>3186</v>
      </c>
      <c r="J416" s="83" t="s">
        <v>3192</v>
      </c>
      <c r="K416" s="89" t="s">
        <v>3185</v>
      </c>
    </row>
    <row r="417" spans="2:11" x14ac:dyDescent="0.25">
      <c r="B417" s="88">
        <v>412</v>
      </c>
      <c r="C417" s="83" t="s">
        <v>3614</v>
      </c>
      <c r="D417" s="83" t="s">
        <v>3188</v>
      </c>
      <c r="E417" s="83" t="s">
        <v>3190</v>
      </c>
      <c r="F417" s="83" t="s">
        <v>3181</v>
      </c>
      <c r="G417" s="83" t="s">
        <v>3182</v>
      </c>
      <c r="H417" s="83" t="s">
        <v>3180</v>
      </c>
      <c r="I417" s="83" t="s">
        <v>3186</v>
      </c>
      <c r="J417" s="83" t="s">
        <v>3185</v>
      </c>
      <c r="K417" s="89" t="s">
        <v>3191</v>
      </c>
    </row>
    <row r="418" spans="2:11" x14ac:dyDescent="0.25">
      <c r="B418" s="88">
        <v>413</v>
      </c>
      <c r="C418" s="83" t="s">
        <v>3615</v>
      </c>
      <c r="D418" s="83" t="s">
        <v>3188</v>
      </c>
      <c r="E418" s="83" t="s">
        <v>3185</v>
      </c>
      <c r="F418" s="83" t="s">
        <v>3181</v>
      </c>
      <c r="G418" s="83" t="s">
        <v>3182</v>
      </c>
      <c r="H418" s="83" t="s">
        <v>3180</v>
      </c>
      <c r="I418" s="83" t="s">
        <v>3186</v>
      </c>
      <c r="J418" s="83" t="s">
        <v>3192</v>
      </c>
      <c r="K418" s="89" t="s">
        <v>3189</v>
      </c>
    </row>
    <row r="419" spans="2:11" x14ac:dyDescent="0.25">
      <c r="B419" s="88">
        <v>414</v>
      </c>
      <c r="C419" s="83" t="s">
        <v>3616</v>
      </c>
      <c r="D419" s="83" t="s">
        <v>3188</v>
      </c>
      <c r="E419" s="83" t="s">
        <v>3185</v>
      </c>
      <c r="F419" s="83" t="s">
        <v>3181</v>
      </c>
      <c r="G419" s="83" t="s">
        <v>3182</v>
      </c>
      <c r="H419" s="83" t="s">
        <v>3180</v>
      </c>
      <c r="I419" s="83" t="s">
        <v>3186</v>
      </c>
      <c r="J419" s="83" t="s">
        <v>3189</v>
      </c>
      <c r="K419" s="89" t="s">
        <v>3191</v>
      </c>
    </row>
    <row r="420" spans="2:11" x14ac:dyDescent="0.25">
      <c r="B420" s="88">
        <v>415</v>
      </c>
      <c r="C420" s="83" t="s">
        <v>3617</v>
      </c>
      <c r="D420" s="83" t="s">
        <v>3188</v>
      </c>
      <c r="E420" s="83" t="s">
        <v>3190</v>
      </c>
      <c r="F420" s="83" t="s">
        <v>3181</v>
      </c>
      <c r="G420" s="83" t="s">
        <v>3182</v>
      </c>
      <c r="H420" s="83" t="s">
        <v>3180</v>
      </c>
      <c r="I420" s="83" t="s">
        <v>3186</v>
      </c>
      <c r="J420" s="83" t="s">
        <v>3185</v>
      </c>
      <c r="K420" s="89" t="s">
        <v>3189</v>
      </c>
    </row>
    <row r="421" spans="2:11" x14ac:dyDescent="0.25">
      <c r="B421" s="88">
        <v>416</v>
      </c>
      <c r="C421" s="83" t="s">
        <v>3618</v>
      </c>
      <c r="D421" s="83" t="s">
        <v>3185</v>
      </c>
      <c r="E421" s="83" t="s">
        <v>3187</v>
      </c>
      <c r="F421" s="83" t="s">
        <v>3181</v>
      </c>
      <c r="G421" s="83" t="s">
        <v>3182</v>
      </c>
      <c r="H421" s="83" t="s">
        <v>3180</v>
      </c>
      <c r="I421" s="83" t="s">
        <v>3186</v>
      </c>
      <c r="J421" s="83" t="s">
        <v>3192</v>
      </c>
      <c r="K421" s="89" t="s">
        <v>3191</v>
      </c>
    </row>
    <row r="422" spans="2:11" x14ac:dyDescent="0.25">
      <c r="B422" s="88">
        <v>417</v>
      </c>
      <c r="C422" s="83" t="s">
        <v>3619</v>
      </c>
      <c r="D422" s="83" t="s">
        <v>3185</v>
      </c>
      <c r="E422" s="83" t="s">
        <v>3187</v>
      </c>
      <c r="F422" s="83" t="s">
        <v>3181</v>
      </c>
      <c r="G422" s="83" t="s">
        <v>3182</v>
      </c>
      <c r="H422" s="83" t="s">
        <v>3180</v>
      </c>
      <c r="I422" s="83" t="s">
        <v>3186</v>
      </c>
      <c r="J422" s="83" t="s">
        <v>3192</v>
      </c>
      <c r="K422" s="89" t="s">
        <v>3190</v>
      </c>
    </row>
    <row r="423" spans="2:11" x14ac:dyDescent="0.25">
      <c r="B423" s="88">
        <v>418</v>
      </c>
      <c r="C423" s="83" t="s">
        <v>3620</v>
      </c>
      <c r="D423" s="83" t="s">
        <v>3185</v>
      </c>
      <c r="E423" s="83" t="s">
        <v>3187</v>
      </c>
      <c r="F423" s="83" t="s">
        <v>3181</v>
      </c>
      <c r="G423" s="83" t="s">
        <v>3182</v>
      </c>
      <c r="H423" s="83" t="s">
        <v>3180</v>
      </c>
      <c r="I423" s="83" t="s">
        <v>3186</v>
      </c>
      <c r="J423" s="83" t="s">
        <v>3190</v>
      </c>
      <c r="K423" s="89" t="s">
        <v>3191</v>
      </c>
    </row>
    <row r="424" spans="2:11" x14ac:dyDescent="0.25">
      <c r="B424" s="88">
        <v>419</v>
      </c>
      <c r="C424" s="83" t="s">
        <v>3621</v>
      </c>
      <c r="D424" s="83" t="s">
        <v>3185</v>
      </c>
      <c r="E424" s="83" t="s">
        <v>3187</v>
      </c>
      <c r="F424" s="83" t="s">
        <v>3181</v>
      </c>
      <c r="G424" s="83" t="s">
        <v>3182</v>
      </c>
      <c r="H424" s="83" t="s">
        <v>3180</v>
      </c>
      <c r="I424" s="83" t="s">
        <v>3186</v>
      </c>
      <c r="J424" s="83" t="s">
        <v>3192</v>
      </c>
      <c r="K424" s="89" t="s">
        <v>3189</v>
      </c>
    </row>
    <row r="425" spans="2:11" x14ac:dyDescent="0.25">
      <c r="B425" s="88">
        <v>420</v>
      </c>
      <c r="C425" s="83" t="s">
        <v>3622</v>
      </c>
      <c r="D425" s="83" t="s">
        <v>3185</v>
      </c>
      <c r="E425" s="83" t="s">
        <v>3187</v>
      </c>
      <c r="F425" s="83" t="s">
        <v>3181</v>
      </c>
      <c r="G425" s="83" t="s">
        <v>3182</v>
      </c>
      <c r="H425" s="83" t="s">
        <v>3180</v>
      </c>
      <c r="I425" s="83" t="s">
        <v>3186</v>
      </c>
      <c r="J425" s="83" t="s">
        <v>3189</v>
      </c>
      <c r="K425" s="89" t="s">
        <v>3191</v>
      </c>
    </row>
    <row r="426" spans="2:11" x14ac:dyDescent="0.25">
      <c r="B426" s="88">
        <v>421</v>
      </c>
      <c r="C426" s="83" t="s">
        <v>3623</v>
      </c>
      <c r="D426" s="83" t="s">
        <v>3185</v>
      </c>
      <c r="E426" s="83" t="s">
        <v>3187</v>
      </c>
      <c r="F426" s="83" t="s">
        <v>3181</v>
      </c>
      <c r="G426" s="83" t="s">
        <v>3182</v>
      </c>
      <c r="H426" s="83" t="s">
        <v>3180</v>
      </c>
      <c r="I426" s="83" t="s">
        <v>3186</v>
      </c>
      <c r="J426" s="83" t="s">
        <v>3189</v>
      </c>
      <c r="K426" s="89" t="s">
        <v>3190</v>
      </c>
    </row>
    <row r="427" spans="2:11" x14ac:dyDescent="0.25">
      <c r="B427" s="88">
        <v>422</v>
      </c>
      <c r="C427" s="83" t="s">
        <v>3624</v>
      </c>
      <c r="D427" s="83" t="s">
        <v>3188</v>
      </c>
      <c r="E427" s="83" t="s">
        <v>3187</v>
      </c>
      <c r="F427" s="83" t="s">
        <v>3181</v>
      </c>
      <c r="G427" s="83" t="s">
        <v>3182</v>
      </c>
      <c r="H427" s="83" t="s">
        <v>3180</v>
      </c>
      <c r="I427" s="83" t="s">
        <v>3186</v>
      </c>
      <c r="J427" s="83" t="s">
        <v>3192</v>
      </c>
      <c r="K427" s="89" t="s">
        <v>3185</v>
      </c>
    </row>
    <row r="428" spans="2:11" x14ac:dyDescent="0.25">
      <c r="B428" s="88">
        <v>423</v>
      </c>
      <c r="C428" s="83" t="s">
        <v>3625</v>
      </c>
      <c r="D428" s="83" t="s">
        <v>3188</v>
      </c>
      <c r="E428" s="83" t="s">
        <v>3187</v>
      </c>
      <c r="F428" s="83" t="s">
        <v>3181</v>
      </c>
      <c r="G428" s="83" t="s">
        <v>3182</v>
      </c>
      <c r="H428" s="83" t="s">
        <v>3180</v>
      </c>
      <c r="I428" s="83" t="s">
        <v>3186</v>
      </c>
      <c r="J428" s="83" t="s">
        <v>3185</v>
      </c>
      <c r="K428" s="89" t="s">
        <v>3191</v>
      </c>
    </row>
    <row r="429" spans="2:11" x14ac:dyDescent="0.25">
      <c r="B429" s="88">
        <v>424</v>
      </c>
      <c r="C429" s="83" t="s">
        <v>3626</v>
      </c>
      <c r="D429" s="83" t="s">
        <v>3188</v>
      </c>
      <c r="E429" s="83" t="s">
        <v>3187</v>
      </c>
      <c r="F429" s="83" t="s">
        <v>3181</v>
      </c>
      <c r="G429" s="83" t="s">
        <v>3182</v>
      </c>
      <c r="H429" s="83" t="s">
        <v>3180</v>
      </c>
      <c r="I429" s="83" t="s">
        <v>3186</v>
      </c>
      <c r="J429" s="83" t="s">
        <v>3185</v>
      </c>
      <c r="K429" s="89" t="s">
        <v>3190</v>
      </c>
    </row>
    <row r="430" spans="2:11" x14ac:dyDescent="0.25">
      <c r="B430" s="88">
        <v>425</v>
      </c>
      <c r="C430" s="83" t="s">
        <v>3627</v>
      </c>
      <c r="D430" s="83" t="s">
        <v>3188</v>
      </c>
      <c r="E430" s="83" t="s">
        <v>3187</v>
      </c>
      <c r="F430" s="83" t="s">
        <v>3181</v>
      </c>
      <c r="G430" s="83" t="s">
        <v>3182</v>
      </c>
      <c r="H430" s="83" t="s">
        <v>3180</v>
      </c>
      <c r="I430" s="83" t="s">
        <v>3186</v>
      </c>
      <c r="J430" s="83" t="s">
        <v>3185</v>
      </c>
      <c r="K430" s="89" t="s">
        <v>3189</v>
      </c>
    </row>
    <row r="431" spans="2:11" x14ac:dyDescent="0.25">
      <c r="B431" s="88">
        <v>426</v>
      </c>
      <c r="C431" s="83" t="s">
        <v>3628</v>
      </c>
      <c r="D431" s="83" t="s">
        <v>3189</v>
      </c>
      <c r="E431" s="83" t="s">
        <v>3190</v>
      </c>
      <c r="F431" s="83" t="s">
        <v>3181</v>
      </c>
      <c r="G431" s="83" t="s">
        <v>3182</v>
      </c>
      <c r="H431" s="83" t="s">
        <v>3180</v>
      </c>
      <c r="I431" s="83" t="s">
        <v>3184</v>
      </c>
      <c r="J431" s="83" t="s">
        <v>3192</v>
      </c>
      <c r="K431" s="89" t="s">
        <v>3191</v>
      </c>
    </row>
    <row r="432" spans="2:11" x14ac:dyDescent="0.25">
      <c r="B432" s="88">
        <v>427</v>
      </c>
      <c r="C432" s="83" t="s">
        <v>3629</v>
      </c>
      <c r="D432" s="83" t="s">
        <v>3188</v>
      </c>
      <c r="E432" s="83" t="s">
        <v>3190</v>
      </c>
      <c r="F432" s="83" t="s">
        <v>3181</v>
      </c>
      <c r="G432" s="83" t="s">
        <v>3182</v>
      </c>
      <c r="H432" s="83" t="s">
        <v>3180</v>
      </c>
      <c r="I432" s="83" t="s">
        <v>3184</v>
      </c>
      <c r="J432" s="83" t="s">
        <v>3192</v>
      </c>
      <c r="K432" s="89" t="s">
        <v>3191</v>
      </c>
    </row>
    <row r="433" spans="2:11" x14ac:dyDescent="0.25">
      <c r="B433" s="88">
        <v>428</v>
      </c>
      <c r="C433" s="83" t="s">
        <v>3630</v>
      </c>
      <c r="D433" s="83" t="s">
        <v>3188</v>
      </c>
      <c r="E433" s="83" t="s">
        <v>3189</v>
      </c>
      <c r="F433" s="83" t="s">
        <v>3181</v>
      </c>
      <c r="G433" s="83" t="s">
        <v>3182</v>
      </c>
      <c r="H433" s="83" t="s">
        <v>3180</v>
      </c>
      <c r="I433" s="83" t="s">
        <v>3184</v>
      </c>
      <c r="J433" s="83" t="s">
        <v>3192</v>
      </c>
      <c r="K433" s="89" t="s">
        <v>3191</v>
      </c>
    </row>
    <row r="434" spans="2:11" x14ac:dyDescent="0.25">
      <c r="B434" s="88">
        <v>429</v>
      </c>
      <c r="C434" s="83" t="s">
        <v>3631</v>
      </c>
      <c r="D434" s="83" t="s">
        <v>3188</v>
      </c>
      <c r="E434" s="83" t="s">
        <v>3190</v>
      </c>
      <c r="F434" s="83" t="s">
        <v>3181</v>
      </c>
      <c r="G434" s="83" t="s">
        <v>3182</v>
      </c>
      <c r="H434" s="83" t="s">
        <v>3180</v>
      </c>
      <c r="I434" s="83" t="s">
        <v>3184</v>
      </c>
      <c r="J434" s="83" t="s">
        <v>3192</v>
      </c>
      <c r="K434" s="89" t="s">
        <v>3189</v>
      </c>
    </row>
    <row r="435" spans="2:11" x14ac:dyDescent="0.25">
      <c r="B435" s="88">
        <v>430</v>
      </c>
      <c r="C435" s="83" t="s">
        <v>3632</v>
      </c>
      <c r="D435" s="83" t="s">
        <v>3188</v>
      </c>
      <c r="E435" s="83" t="s">
        <v>3190</v>
      </c>
      <c r="F435" s="83" t="s">
        <v>3181</v>
      </c>
      <c r="G435" s="83" t="s">
        <v>3182</v>
      </c>
      <c r="H435" s="83" t="s">
        <v>3180</v>
      </c>
      <c r="I435" s="83" t="s">
        <v>3184</v>
      </c>
      <c r="J435" s="83" t="s">
        <v>3189</v>
      </c>
      <c r="K435" s="89" t="s">
        <v>3191</v>
      </c>
    </row>
    <row r="436" spans="2:11" x14ac:dyDescent="0.25">
      <c r="B436" s="88">
        <v>431</v>
      </c>
      <c r="C436" s="83" t="s">
        <v>3633</v>
      </c>
      <c r="D436" s="83" t="s">
        <v>3182</v>
      </c>
      <c r="E436" s="83" t="s">
        <v>3190</v>
      </c>
      <c r="F436" s="83" t="s">
        <v>3181</v>
      </c>
      <c r="G436" s="83" t="s">
        <v>3184</v>
      </c>
      <c r="H436" s="83" t="s">
        <v>3180</v>
      </c>
      <c r="I436" s="83" t="s">
        <v>3187</v>
      </c>
      <c r="J436" s="83" t="s">
        <v>3192</v>
      </c>
      <c r="K436" s="89" t="s">
        <v>3191</v>
      </c>
    </row>
    <row r="437" spans="2:11" x14ac:dyDescent="0.25">
      <c r="B437" s="88">
        <v>432</v>
      </c>
      <c r="C437" s="83" t="s">
        <v>3634</v>
      </c>
      <c r="D437" s="83" t="s">
        <v>3189</v>
      </c>
      <c r="E437" s="83" t="s">
        <v>3187</v>
      </c>
      <c r="F437" s="83" t="s">
        <v>3181</v>
      </c>
      <c r="G437" s="83" t="s">
        <v>3182</v>
      </c>
      <c r="H437" s="83" t="s">
        <v>3180</v>
      </c>
      <c r="I437" s="83" t="s">
        <v>3184</v>
      </c>
      <c r="J437" s="83" t="s">
        <v>3192</v>
      </c>
      <c r="K437" s="89" t="s">
        <v>3191</v>
      </c>
    </row>
    <row r="438" spans="2:11" x14ac:dyDescent="0.25">
      <c r="B438" s="88">
        <v>433</v>
      </c>
      <c r="C438" s="83" t="s">
        <v>3635</v>
      </c>
      <c r="D438" s="83" t="s">
        <v>3182</v>
      </c>
      <c r="E438" s="83" t="s">
        <v>3190</v>
      </c>
      <c r="F438" s="83" t="s">
        <v>3181</v>
      </c>
      <c r="G438" s="83" t="s">
        <v>3184</v>
      </c>
      <c r="H438" s="83" t="s">
        <v>3180</v>
      </c>
      <c r="I438" s="83" t="s">
        <v>3187</v>
      </c>
      <c r="J438" s="83" t="s">
        <v>3192</v>
      </c>
      <c r="K438" s="89" t="s">
        <v>3189</v>
      </c>
    </row>
    <row r="439" spans="2:11" x14ac:dyDescent="0.25">
      <c r="B439" s="88">
        <v>434</v>
      </c>
      <c r="C439" s="83" t="s">
        <v>3636</v>
      </c>
      <c r="D439" s="83" t="s">
        <v>3182</v>
      </c>
      <c r="E439" s="83" t="s">
        <v>3190</v>
      </c>
      <c r="F439" s="83" t="s">
        <v>3181</v>
      </c>
      <c r="G439" s="83" t="s">
        <v>3184</v>
      </c>
      <c r="H439" s="83" t="s">
        <v>3180</v>
      </c>
      <c r="I439" s="83" t="s">
        <v>3187</v>
      </c>
      <c r="J439" s="83" t="s">
        <v>3189</v>
      </c>
      <c r="K439" s="89" t="s">
        <v>3191</v>
      </c>
    </row>
    <row r="440" spans="2:11" x14ac:dyDescent="0.25">
      <c r="B440" s="88">
        <v>435</v>
      </c>
      <c r="C440" s="83" t="s">
        <v>3637</v>
      </c>
      <c r="D440" s="83" t="s">
        <v>3188</v>
      </c>
      <c r="E440" s="83" t="s">
        <v>3187</v>
      </c>
      <c r="F440" s="83" t="s">
        <v>3181</v>
      </c>
      <c r="G440" s="83" t="s">
        <v>3182</v>
      </c>
      <c r="H440" s="83" t="s">
        <v>3180</v>
      </c>
      <c r="I440" s="83" t="s">
        <v>3184</v>
      </c>
      <c r="J440" s="83" t="s">
        <v>3192</v>
      </c>
      <c r="K440" s="89" t="s">
        <v>3191</v>
      </c>
    </row>
    <row r="441" spans="2:11" x14ac:dyDescent="0.25">
      <c r="B441" s="88">
        <v>436</v>
      </c>
      <c r="C441" s="83" t="s">
        <v>3638</v>
      </c>
      <c r="D441" s="83" t="s">
        <v>3188</v>
      </c>
      <c r="E441" s="83" t="s">
        <v>3187</v>
      </c>
      <c r="F441" s="83" t="s">
        <v>3181</v>
      </c>
      <c r="G441" s="83" t="s">
        <v>3182</v>
      </c>
      <c r="H441" s="83" t="s">
        <v>3180</v>
      </c>
      <c r="I441" s="83" t="s">
        <v>3184</v>
      </c>
      <c r="J441" s="83" t="s">
        <v>3192</v>
      </c>
      <c r="K441" s="89" t="s">
        <v>3190</v>
      </c>
    </row>
    <row r="442" spans="2:11" x14ac:dyDescent="0.25">
      <c r="B442" s="88">
        <v>437</v>
      </c>
      <c r="C442" s="83" t="s">
        <v>3639</v>
      </c>
      <c r="D442" s="83" t="s">
        <v>3188</v>
      </c>
      <c r="E442" s="83" t="s">
        <v>3187</v>
      </c>
      <c r="F442" s="83" t="s">
        <v>3181</v>
      </c>
      <c r="G442" s="83" t="s">
        <v>3182</v>
      </c>
      <c r="H442" s="83" t="s">
        <v>3180</v>
      </c>
      <c r="I442" s="83" t="s">
        <v>3184</v>
      </c>
      <c r="J442" s="83" t="s">
        <v>3190</v>
      </c>
      <c r="K442" s="89" t="s">
        <v>3191</v>
      </c>
    </row>
    <row r="443" spans="2:11" x14ac:dyDescent="0.25">
      <c r="B443" s="88">
        <v>438</v>
      </c>
      <c r="C443" s="83" t="s">
        <v>3640</v>
      </c>
      <c r="D443" s="83" t="s">
        <v>3188</v>
      </c>
      <c r="E443" s="83" t="s">
        <v>3187</v>
      </c>
      <c r="F443" s="83" t="s">
        <v>3181</v>
      </c>
      <c r="G443" s="83" t="s">
        <v>3182</v>
      </c>
      <c r="H443" s="83" t="s">
        <v>3180</v>
      </c>
      <c r="I443" s="83" t="s">
        <v>3184</v>
      </c>
      <c r="J443" s="83" t="s">
        <v>3192</v>
      </c>
      <c r="K443" s="89" t="s">
        <v>3189</v>
      </c>
    </row>
    <row r="444" spans="2:11" x14ac:dyDescent="0.25">
      <c r="B444" s="88">
        <v>439</v>
      </c>
      <c r="C444" s="83" t="s">
        <v>3641</v>
      </c>
      <c r="D444" s="83" t="s">
        <v>3188</v>
      </c>
      <c r="E444" s="83" t="s">
        <v>3187</v>
      </c>
      <c r="F444" s="83" t="s">
        <v>3181</v>
      </c>
      <c r="G444" s="83" t="s">
        <v>3182</v>
      </c>
      <c r="H444" s="83" t="s">
        <v>3180</v>
      </c>
      <c r="I444" s="83" t="s">
        <v>3184</v>
      </c>
      <c r="J444" s="83" t="s">
        <v>3189</v>
      </c>
      <c r="K444" s="89" t="s">
        <v>3191</v>
      </c>
    </row>
    <row r="445" spans="2:11" x14ac:dyDescent="0.25">
      <c r="B445" s="88">
        <v>440</v>
      </c>
      <c r="C445" s="83" t="s">
        <v>3642</v>
      </c>
      <c r="D445" s="83" t="s">
        <v>3188</v>
      </c>
      <c r="E445" s="83" t="s">
        <v>3187</v>
      </c>
      <c r="F445" s="83" t="s">
        <v>3181</v>
      </c>
      <c r="G445" s="83" t="s">
        <v>3182</v>
      </c>
      <c r="H445" s="83" t="s">
        <v>3180</v>
      </c>
      <c r="I445" s="83" t="s">
        <v>3184</v>
      </c>
      <c r="J445" s="83" t="s">
        <v>3189</v>
      </c>
      <c r="K445" s="89" t="s">
        <v>3190</v>
      </c>
    </row>
    <row r="446" spans="2:11" x14ac:dyDescent="0.25">
      <c r="B446" s="88">
        <v>441</v>
      </c>
      <c r="C446" s="83" t="s">
        <v>3643</v>
      </c>
      <c r="D446" s="83" t="s">
        <v>3182</v>
      </c>
      <c r="E446" s="83" t="s">
        <v>3190</v>
      </c>
      <c r="F446" s="83" t="s">
        <v>3181</v>
      </c>
      <c r="G446" s="83" t="s">
        <v>3184</v>
      </c>
      <c r="H446" s="83" t="s">
        <v>3180</v>
      </c>
      <c r="I446" s="83" t="s">
        <v>3186</v>
      </c>
      <c r="J446" s="83" t="s">
        <v>3192</v>
      </c>
      <c r="K446" s="89" t="s">
        <v>3191</v>
      </c>
    </row>
    <row r="447" spans="2:11" x14ac:dyDescent="0.25">
      <c r="B447" s="88">
        <v>442</v>
      </c>
      <c r="C447" s="83" t="s">
        <v>3644</v>
      </c>
      <c r="D447" s="83" t="s">
        <v>3182</v>
      </c>
      <c r="E447" s="83" t="s">
        <v>3189</v>
      </c>
      <c r="F447" s="83" t="s">
        <v>3181</v>
      </c>
      <c r="G447" s="83" t="s">
        <v>3184</v>
      </c>
      <c r="H447" s="83" t="s">
        <v>3180</v>
      </c>
      <c r="I447" s="83" t="s">
        <v>3186</v>
      </c>
      <c r="J447" s="83" t="s">
        <v>3192</v>
      </c>
      <c r="K447" s="89" t="s">
        <v>3191</v>
      </c>
    </row>
    <row r="448" spans="2:11" x14ac:dyDescent="0.25">
      <c r="B448" s="88">
        <v>443</v>
      </c>
      <c r="C448" s="83" t="s">
        <v>3645</v>
      </c>
      <c r="D448" s="83" t="s">
        <v>3182</v>
      </c>
      <c r="E448" s="83" t="s">
        <v>3190</v>
      </c>
      <c r="F448" s="83" t="s">
        <v>3181</v>
      </c>
      <c r="G448" s="83" t="s">
        <v>3184</v>
      </c>
      <c r="H448" s="83" t="s">
        <v>3180</v>
      </c>
      <c r="I448" s="83" t="s">
        <v>3186</v>
      </c>
      <c r="J448" s="83" t="s">
        <v>3192</v>
      </c>
      <c r="K448" s="89" t="s">
        <v>3189</v>
      </c>
    </row>
    <row r="449" spans="2:11" x14ac:dyDescent="0.25">
      <c r="B449" s="88">
        <v>444</v>
      </c>
      <c r="C449" s="83" t="s">
        <v>3646</v>
      </c>
      <c r="D449" s="83" t="s">
        <v>3182</v>
      </c>
      <c r="E449" s="83" t="s">
        <v>3190</v>
      </c>
      <c r="F449" s="83" t="s">
        <v>3181</v>
      </c>
      <c r="G449" s="83" t="s">
        <v>3184</v>
      </c>
      <c r="H449" s="83" t="s">
        <v>3180</v>
      </c>
      <c r="I449" s="83" t="s">
        <v>3186</v>
      </c>
      <c r="J449" s="83" t="s">
        <v>3189</v>
      </c>
      <c r="K449" s="89" t="s">
        <v>3191</v>
      </c>
    </row>
    <row r="450" spans="2:11" x14ac:dyDescent="0.25">
      <c r="B450" s="88">
        <v>445</v>
      </c>
      <c r="C450" s="83" t="s">
        <v>3647</v>
      </c>
      <c r="D450" s="83" t="s">
        <v>3188</v>
      </c>
      <c r="E450" s="83" t="s">
        <v>3186</v>
      </c>
      <c r="F450" s="83" t="s">
        <v>3181</v>
      </c>
      <c r="G450" s="83" t="s">
        <v>3182</v>
      </c>
      <c r="H450" s="83" t="s">
        <v>3180</v>
      </c>
      <c r="I450" s="83" t="s">
        <v>3184</v>
      </c>
      <c r="J450" s="83" t="s">
        <v>3192</v>
      </c>
      <c r="K450" s="89" t="s">
        <v>3191</v>
      </c>
    </row>
    <row r="451" spans="2:11" x14ac:dyDescent="0.25">
      <c r="B451" s="88">
        <v>446</v>
      </c>
      <c r="C451" s="83" t="s">
        <v>3648</v>
      </c>
      <c r="D451" s="83" t="s">
        <v>3182</v>
      </c>
      <c r="E451" s="83" t="s">
        <v>3190</v>
      </c>
      <c r="F451" s="83" t="s">
        <v>3181</v>
      </c>
      <c r="G451" s="83" t="s">
        <v>3184</v>
      </c>
      <c r="H451" s="83" t="s">
        <v>3180</v>
      </c>
      <c r="I451" s="83" t="s">
        <v>3186</v>
      </c>
      <c r="J451" s="83" t="s">
        <v>3192</v>
      </c>
      <c r="K451" s="89" t="s">
        <v>3188</v>
      </c>
    </row>
    <row r="452" spans="2:11" x14ac:dyDescent="0.25">
      <c r="B452" s="88">
        <v>447</v>
      </c>
      <c r="C452" s="83" t="s">
        <v>3649</v>
      </c>
      <c r="D452" s="83" t="s">
        <v>3188</v>
      </c>
      <c r="E452" s="83" t="s">
        <v>3190</v>
      </c>
      <c r="F452" s="83" t="s">
        <v>3181</v>
      </c>
      <c r="G452" s="83" t="s">
        <v>3182</v>
      </c>
      <c r="H452" s="83" t="s">
        <v>3180</v>
      </c>
      <c r="I452" s="83" t="s">
        <v>3186</v>
      </c>
      <c r="J452" s="83" t="s">
        <v>3184</v>
      </c>
      <c r="K452" s="89" t="s">
        <v>3191</v>
      </c>
    </row>
    <row r="453" spans="2:11" x14ac:dyDescent="0.25">
      <c r="B453" s="88">
        <v>448</v>
      </c>
      <c r="C453" s="83" t="s">
        <v>3650</v>
      </c>
      <c r="D453" s="83" t="s">
        <v>3188</v>
      </c>
      <c r="E453" s="83" t="s">
        <v>3186</v>
      </c>
      <c r="F453" s="83" t="s">
        <v>3181</v>
      </c>
      <c r="G453" s="83" t="s">
        <v>3182</v>
      </c>
      <c r="H453" s="83" t="s">
        <v>3180</v>
      </c>
      <c r="I453" s="83" t="s">
        <v>3184</v>
      </c>
      <c r="J453" s="83" t="s">
        <v>3192</v>
      </c>
      <c r="K453" s="89" t="s">
        <v>3189</v>
      </c>
    </row>
    <row r="454" spans="2:11" x14ac:dyDescent="0.25">
      <c r="B454" s="88">
        <v>449</v>
      </c>
      <c r="C454" s="83" t="s">
        <v>3651</v>
      </c>
      <c r="D454" s="83" t="s">
        <v>3188</v>
      </c>
      <c r="E454" s="83" t="s">
        <v>3186</v>
      </c>
      <c r="F454" s="83" t="s">
        <v>3181</v>
      </c>
      <c r="G454" s="83" t="s">
        <v>3182</v>
      </c>
      <c r="H454" s="83" t="s">
        <v>3180</v>
      </c>
      <c r="I454" s="83" t="s">
        <v>3184</v>
      </c>
      <c r="J454" s="83" t="s">
        <v>3189</v>
      </c>
      <c r="K454" s="89" t="s">
        <v>3191</v>
      </c>
    </row>
    <row r="455" spans="2:11" x14ac:dyDescent="0.25">
      <c r="B455" s="88">
        <v>450</v>
      </c>
      <c r="C455" s="83" t="s">
        <v>3652</v>
      </c>
      <c r="D455" s="83" t="s">
        <v>3188</v>
      </c>
      <c r="E455" s="83" t="s">
        <v>3190</v>
      </c>
      <c r="F455" s="83" t="s">
        <v>3181</v>
      </c>
      <c r="G455" s="83" t="s">
        <v>3182</v>
      </c>
      <c r="H455" s="83" t="s">
        <v>3180</v>
      </c>
      <c r="I455" s="83" t="s">
        <v>3186</v>
      </c>
      <c r="J455" s="83" t="s">
        <v>3184</v>
      </c>
      <c r="K455" s="89" t="s">
        <v>3189</v>
      </c>
    </row>
    <row r="456" spans="2:11" x14ac:dyDescent="0.25">
      <c r="B456" s="88">
        <v>451</v>
      </c>
      <c r="C456" s="83" t="s">
        <v>3653</v>
      </c>
      <c r="D456" s="83" t="s">
        <v>3182</v>
      </c>
      <c r="E456" s="83" t="s">
        <v>3187</v>
      </c>
      <c r="F456" s="83" t="s">
        <v>3181</v>
      </c>
      <c r="G456" s="83" t="s">
        <v>3184</v>
      </c>
      <c r="H456" s="83" t="s">
        <v>3180</v>
      </c>
      <c r="I456" s="83" t="s">
        <v>3186</v>
      </c>
      <c r="J456" s="83" t="s">
        <v>3192</v>
      </c>
      <c r="K456" s="89" t="s">
        <v>3191</v>
      </c>
    </row>
    <row r="457" spans="2:11" x14ac:dyDescent="0.25">
      <c r="B457" s="88">
        <v>452</v>
      </c>
      <c r="C457" s="83" t="s">
        <v>3654</v>
      </c>
      <c r="D457" s="83" t="s">
        <v>3182</v>
      </c>
      <c r="E457" s="83" t="s">
        <v>3187</v>
      </c>
      <c r="F457" s="83" t="s">
        <v>3181</v>
      </c>
      <c r="G457" s="83" t="s">
        <v>3184</v>
      </c>
      <c r="H457" s="83" t="s">
        <v>3180</v>
      </c>
      <c r="I457" s="83" t="s">
        <v>3186</v>
      </c>
      <c r="J457" s="83" t="s">
        <v>3192</v>
      </c>
      <c r="K457" s="89" t="s">
        <v>3190</v>
      </c>
    </row>
    <row r="458" spans="2:11" x14ac:dyDescent="0.25">
      <c r="B458" s="88">
        <v>453</v>
      </c>
      <c r="C458" s="83" t="s">
        <v>3655</v>
      </c>
      <c r="D458" s="83" t="s">
        <v>3182</v>
      </c>
      <c r="E458" s="83" t="s">
        <v>3187</v>
      </c>
      <c r="F458" s="83" t="s">
        <v>3181</v>
      </c>
      <c r="G458" s="83" t="s">
        <v>3184</v>
      </c>
      <c r="H458" s="83" t="s">
        <v>3180</v>
      </c>
      <c r="I458" s="83" t="s">
        <v>3186</v>
      </c>
      <c r="J458" s="83" t="s">
        <v>3190</v>
      </c>
      <c r="K458" s="89" t="s">
        <v>3191</v>
      </c>
    </row>
    <row r="459" spans="2:11" x14ac:dyDescent="0.25">
      <c r="B459" s="88">
        <v>454</v>
      </c>
      <c r="C459" s="83" t="s">
        <v>3656</v>
      </c>
      <c r="D459" s="83" t="s">
        <v>3182</v>
      </c>
      <c r="E459" s="83" t="s">
        <v>3187</v>
      </c>
      <c r="F459" s="83" t="s">
        <v>3181</v>
      </c>
      <c r="G459" s="83" t="s">
        <v>3184</v>
      </c>
      <c r="H459" s="83" t="s">
        <v>3180</v>
      </c>
      <c r="I459" s="83" t="s">
        <v>3186</v>
      </c>
      <c r="J459" s="83" t="s">
        <v>3192</v>
      </c>
      <c r="K459" s="89" t="s">
        <v>3189</v>
      </c>
    </row>
    <row r="460" spans="2:11" x14ac:dyDescent="0.25">
      <c r="B460" s="88">
        <v>455</v>
      </c>
      <c r="C460" s="83" t="s">
        <v>3657</v>
      </c>
      <c r="D460" s="83" t="s">
        <v>3182</v>
      </c>
      <c r="E460" s="83" t="s">
        <v>3187</v>
      </c>
      <c r="F460" s="83" t="s">
        <v>3181</v>
      </c>
      <c r="G460" s="83" t="s">
        <v>3184</v>
      </c>
      <c r="H460" s="83" t="s">
        <v>3180</v>
      </c>
      <c r="I460" s="83" t="s">
        <v>3186</v>
      </c>
      <c r="J460" s="83" t="s">
        <v>3189</v>
      </c>
      <c r="K460" s="89" t="s">
        <v>3191</v>
      </c>
    </row>
    <row r="461" spans="2:11" x14ac:dyDescent="0.25">
      <c r="B461" s="88">
        <v>456</v>
      </c>
      <c r="C461" s="83" t="s">
        <v>3658</v>
      </c>
      <c r="D461" s="83" t="s">
        <v>3182</v>
      </c>
      <c r="E461" s="83" t="s">
        <v>3187</v>
      </c>
      <c r="F461" s="83" t="s">
        <v>3181</v>
      </c>
      <c r="G461" s="83" t="s">
        <v>3184</v>
      </c>
      <c r="H461" s="83" t="s">
        <v>3180</v>
      </c>
      <c r="I461" s="83" t="s">
        <v>3186</v>
      </c>
      <c r="J461" s="83" t="s">
        <v>3189</v>
      </c>
      <c r="K461" s="89" t="s">
        <v>3190</v>
      </c>
    </row>
    <row r="462" spans="2:11" x14ac:dyDescent="0.25">
      <c r="B462" s="88">
        <v>457</v>
      </c>
      <c r="C462" s="83" t="s">
        <v>3659</v>
      </c>
      <c r="D462" s="83" t="s">
        <v>3182</v>
      </c>
      <c r="E462" s="83" t="s">
        <v>3187</v>
      </c>
      <c r="F462" s="83" t="s">
        <v>3181</v>
      </c>
      <c r="G462" s="83" t="s">
        <v>3184</v>
      </c>
      <c r="H462" s="83" t="s">
        <v>3180</v>
      </c>
      <c r="I462" s="83" t="s">
        <v>3186</v>
      </c>
      <c r="J462" s="83" t="s">
        <v>3192</v>
      </c>
      <c r="K462" s="89" t="s">
        <v>3188</v>
      </c>
    </row>
    <row r="463" spans="2:11" x14ac:dyDescent="0.25">
      <c r="B463" s="88">
        <v>458</v>
      </c>
      <c r="C463" s="83" t="s">
        <v>3660</v>
      </c>
      <c r="D463" s="83" t="s">
        <v>3188</v>
      </c>
      <c r="E463" s="83" t="s">
        <v>3187</v>
      </c>
      <c r="F463" s="83" t="s">
        <v>3181</v>
      </c>
      <c r="G463" s="83" t="s">
        <v>3182</v>
      </c>
      <c r="H463" s="83" t="s">
        <v>3180</v>
      </c>
      <c r="I463" s="83" t="s">
        <v>3186</v>
      </c>
      <c r="J463" s="83" t="s">
        <v>3184</v>
      </c>
      <c r="K463" s="89" t="s">
        <v>3191</v>
      </c>
    </row>
    <row r="464" spans="2:11" x14ac:dyDescent="0.25">
      <c r="B464" s="88">
        <v>459</v>
      </c>
      <c r="C464" s="83" t="s">
        <v>3661</v>
      </c>
      <c r="D464" s="83" t="s">
        <v>3188</v>
      </c>
      <c r="E464" s="83" t="s">
        <v>3187</v>
      </c>
      <c r="F464" s="83" t="s">
        <v>3181</v>
      </c>
      <c r="G464" s="83" t="s">
        <v>3182</v>
      </c>
      <c r="H464" s="83" t="s">
        <v>3180</v>
      </c>
      <c r="I464" s="83" t="s">
        <v>3186</v>
      </c>
      <c r="J464" s="83" t="s">
        <v>3184</v>
      </c>
      <c r="K464" s="89" t="s">
        <v>3190</v>
      </c>
    </row>
    <row r="465" spans="2:11" x14ac:dyDescent="0.25">
      <c r="B465" s="88">
        <v>460</v>
      </c>
      <c r="C465" s="83" t="s">
        <v>3662</v>
      </c>
      <c r="D465" s="83" t="s">
        <v>3188</v>
      </c>
      <c r="E465" s="83" t="s">
        <v>3187</v>
      </c>
      <c r="F465" s="83" t="s">
        <v>3181</v>
      </c>
      <c r="G465" s="83" t="s">
        <v>3182</v>
      </c>
      <c r="H465" s="83" t="s">
        <v>3180</v>
      </c>
      <c r="I465" s="83" t="s">
        <v>3186</v>
      </c>
      <c r="J465" s="83" t="s">
        <v>3184</v>
      </c>
      <c r="K465" s="89" t="s">
        <v>3189</v>
      </c>
    </row>
    <row r="466" spans="2:11" x14ac:dyDescent="0.25">
      <c r="B466" s="88">
        <v>461</v>
      </c>
      <c r="C466" s="83" t="s">
        <v>3663</v>
      </c>
      <c r="D466" s="83" t="s">
        <v>3185</v>
      </c>
      <c r="E466" s="83" t="s">
        <v>3190</v>
      </c>
      <c r="F466" s="83" t="s">
        <v>3181</v>
      </c>
      <c r="G466" s="83" t="s">
        <v>3182</v>
      </c>
      <c r="H466" s="83" t="s">
        <v>3180</v>
      </c>
      <c r="I466" s="83" t="s">
        <v>3184</v>
      </c>
      <c r="J466" s="83" t="s">
        <v>3192</v>
      </c>
      <c r="K466" s="89" t="s">
        <v>3191</v>
      </c>
    </row>
    <row r="467" spans="2:11" x14ac:dyDescent="0.25">
      <c r="B467" s="88">
        <v>462</v>
      </c>
      <c r="C467" s="83" t="s">
        <v>3664</v>
      </c>
      <c r="D467" s="83" t="s">
        <v>3185</v>
      </c>
      <c r="E467" s="83" t="s">
        <v>3189</v>
      </c>
      <c r="F467" s="83" t="s">
        <v>3181</v>
      </c>
      <c r="G467" s="83" t="s">
        <v>3182</v>
      </c>
      <c r="H467" s="83" t="s">
        <v>3180</v>
      </c>
      <c r="I467" s="83" t="s">
        <v>3184</v>
      </c>
      <c r="J467" s="83" t="s">
        <v>3192</v>
      </c>
      <c r="K467" s="89" t="s">
        <v>3191</v>
      </c>
    </row>
    <row r="468" spans="2:11" x14ac:dyDescent="0.25">
      <c r="B468" s="88">
        <v>463</v>
      </c>
      <c r="C468" s="83" t="s">
        <v>3665</v>
      </c>
      <c r="D468" s="83" t="s">
        <v>3185</v>
      </c>
      <c r="E468" s="83" t="s">
        <v>3190</v>
      </c>
      <c r="F468" s="83" t="s">
        <v>3181</v>
      </c>
      <c r="G468" s="83" t="s">
        <v>3182</v>
      </c>
      <c r="H468" s="83" t="s">
        <v>3180</v>
      </c>
      <c r="I468" s="83" t="s">
        <v>3184</v>
      </c>
      <c r="J468" s="83" t="s">
        <v>3192</v>
      </c>
      <c r="K468" s="89" t="s">
        <v>3189</v>
      </c>
    </row>
    <row r="469" spans="2:11" x14ac:dyDescent="0.25">
      <c r="B469" s="88">
        <v>464</v>
      </c>
      <c r="C469" s="83" t="s">
        <v>3666</v>
      </c>
      <c r="D469" s="83" t="s">
        <v>3185</v>
      </c>
      <c r="E469" s="83" t="s">
        <v>3190</v>
      </c>
      <c r="F469" s="83" t="s">
        <v>3181</v>
      </c>
      <c r="G469" s="83" t="s">
        <v>3182</v>
      </c>
      <c r="H469" s="83" t="s">
        <v>3180</v>
      </c>
      <c r="I469" s="83" t="s">
        <v>3184</v>
      </c>
      <c r="J469" s="83" t="s">
        <v>3189</v>
      </c>
      <c r="K469" s="89" t="s">
        <v>3191</v>
      </c>
    </row>
    <row r="470" spans="2:11" x14ac:dyDescent="0.25">
      <c r="B470" s="88">
        <v>465</v>
      </c>
      <c r="C470" s="83" t="s">
        <v>3667</v>
      </c>
      <c r="D470" s="83" t="s">
        <v>3188</v>
      </c>
      <c r="E470" s="83" t="s">
        <v>3185</v>
      </c>
      <c r="F470" s="83" t="s">
        <v>3181</v>
      </c>
      <c r="G470" s="83" t="s">
        <v>3182</v>
      </c>
      <c r="H470" s="83" t="s">
        <v>3180</v>
      </c>
      <c r="I470" s="83" t="s">
        <v>3184</v>
      </c>
      <c r="J470" s="83" t="s">
        <v>3192</v>
      </c>
      <c r="K470" s="89" t="s">
        <v>3191</v>
      </c>
    </row>
    <row r="471" spans="2:11" x14ac:dyDescent="0.25">
      <c r="B471" s="88">
        <v>466</v>
      </c>
      <c r="C471" s="83" t="s">
        <v>3668</v>
      </c>
      <c r="D471" s="83" t="s">
        <v>3188</v>
      </c>
      <c r="E471" s="83" t="s">
        <v>3190</v>
      </c>
      <c r="F471" s="83" t="s">
        <v>3181</v>
      </c>
      <c r="G471" s="83" t="s">
        <v>3182</v>
      </c>
      <c r="H471" s="83" t="s">
        <v>3180</v>
      </c>
      <c r="I471" s="83" t="s">
        <v>3184</v>
      </c>
      <c r="J471" s="83" t="s">
        <v>3192</v>
      </c>
      <c r="K471" s="89" t="s">
        <v>3185</v>
      </c>
    </row>
    <row r="472" spans="2:11" x14ac:dyDescent="0.25">
      <c r="B472" s="88">
        <v>467</v>
      </c>
      <c r="C472" s="83" t="s">
        <v>3669</v>
      </c>
      <c r="D472" s="83" t="s">
        <v>3188</v>
      </c>
      <c r="E472" s="83" t="s">
        <v>3190</v>
      </c>
      <c r="F472" s="83" t="s">
        <v>3181</v>
      </c>
      <c r="G472" s="83" t="s">
        <v>3182</v>
      </c>
      <c r="H472" s="83" t="s">
        <v>3180</v>
      </c>
      <c r="I472" s="83" t="s">
        <v>3184</v>
      </c>
      <c r="J472" s="83" t="s">
        <v>3185</v>
      </c>
      <c r="K472" s="89" t="s">
        <v>3191</v>
      </c>
    </row>
    <row r="473" spans="2:11" x14ac:dyDescent="0.25">
      <c r="B473" s="88">
        <v>468</v>
      </c>
      <c r="C473" s="83" t="s">
        <v>3670</v>
      </c>
      <c r="D473" s="83" t="s">
        <v>3188</v>
      </c>
      <c r="E473" s="83" t="s">
        <v>3185</v>
      </c>
      <c r="F473" s="83" t="s">
        <v>3181</v>
      </c>
      <c r="G473" s="83" t="s">
        <v>3182</v>
      </c>
      <c r="H473" s="83" t="s">
        <v>3180</v>
      </c>
      <c r="I473" s="83" t="s">
        <v>3184</v>
      </c>
      <c r="J473" s="83" t="s">
        <v>3192</v>
      </c>
      <c r="K473" s="89" t="s">
        <v>3189</v>
      </c>
    </row>
    <row r="474" spans="2:11" x14ac:dyDescent="0.25">
      <c r="B474" s="88">
        <v>469</v>
      </c>
      <c r="C474" s="83" t="s">
        <v>3671</v>
      </c>
      <c r="D474" s="83" t="s">
        <v>3188</v>
      </c>
      <c r="E474" s="83" t="s">
        <v>3185</v>
      </c>
      <c r="F474" s="83" t="s">
        <v>3181</v>
      </c>
      <c r="G474" s="83" t="s">
        <v>3182</v>
      </c>
      <c r="H474" s="83" t="s">
        <v>3180</v>
      </c>
      <c r="I474" s="83" t="s">
        <v>3184</v>
      </c>
      <c r="J474" s="83" t="s">
        <v>3189</v>
      </c>
      <c r="K474" s="89" t="s">
        <v>3191</v>
      </c>
    </row>
    <row r="475" spans="2:11" x14ac:dyDescent="0.25">
      <c r="B475" s="88">
        <v>470</v>
      </c>
      <c r="C475" s="83" t="s">
        <v>3672</v>
      </c>
      <c r="D475" s="83" t="s">
        <v>3188</v>
      </c>
      <c r="E475" s="83" t="s">
        <v>3190</v>
      </c>
      <c r="F475" s="83" t="s">
        <v>3181</v>
      </c>
      <c r="G475" s="83" t="s">
        <v>3182</v>
      </c>
      <c r="H475" s="83" t="s">
        <v>3180</v>
      </c>
      <c r="I475" s="83" t="s">
        <v>3184</v>
      </c>
      <c r="J475" s="83" t="s">
        <v>3185</v>
      </c>
      <c r="K475" s="89" t="s">
        <v>3189</v>
      </c>
    </row>
    <row r="476" spans="2:11" x14ac:dyDescent="0.25">
      <c r="B476" s="88">
        <v>471</v>
      </c>
      <c r="C476" s="83" t="s">
        <v>3673</v>
      </c>
      <c r="D476" s="83" t="s">
        <v>3185</v>
      </c>
      <c r="E476" s="83" t="s">
        <v>3187</v>
      </c>
      <c r="F476" s="83" t="s">
        <v>3181</v>
      </c>
      <c r="G476" s="83" t="s">
        <v>3182</v>
      </c>
      <c r="H476" s="83" t="s">
        <v>3180</v>
      </c>
      <c r="I476" s="83" t="s">
        <v>3184</v>
      </c>
      <c r="J476" s="83" t="s">
        <v>3192</v>
      </c>
      <c r="K476" s="89" t="s">
        <v>3191</v>
      </c>
    </row>
    <row r="477" spans="2:11" x14ac:dyDescent="0.25">
      <c r="B477" s="88">
        <v>472</v>
      </c>
      <c r="C477" s="83" t="s">
        <v>3674</v>
      </c>
      <c r="D477" s="83" t="s">
        <v>3185</v>
      </c>
      <c r="E477" s="83" t="s">
        <v>3187</v>
      </c>
      <c r="F477" s="83" t="s">
        <v>3181</v>
      </c>
      <c r="G477" s="83" t="s">
        <v>3182</v>
      </c>
      <c r="H477" s="83" t="s">
        <v>3180</v>
      </c>
      <c r="I477" s="83" t="s">
        <v>3184</v>
      </c>
      <c r="J477" s="83" t="s">
        <v>3192</v>
      </c>
      <c r="K477" s="89" t="s">
        <v>3190</v>
      </c>
    </row>
    <row r="478" spans="2:11" x14ac:dyDescent="0.25">
      <c r="B478" s="88">
        <v>473</v>
      </c>
      <c r="C478" s="83" t="s">
        <v>3675</v>
      </c>
      <c r="D478" s="83" t="s">
        <v>3185</v>
      </c>
      <c r="E478" s="83" t="s">
        <v>3187</v>
      </c>
      <c r="F478" s="83" t="s">
        <v>3181</v>
      </c>
      <c r="G478" s="83" t="s">
        <v>3182</v>
      </c>
      <c r="H478" s="83" t="s">
        <v>3180</v>
      </c>
      <c r="I478" s="83" t="s">
        <v>3184</v>
      </c>
      <c r="J478" s="83" t="s">
        <v>3190</v>
      </c>
      <c r="K478" s="89" t="s">
        <v>3191</v>
      </c>
    </row>
    <row r="479" spans="2:11" x14ac:dyDescent="0.25">
      <c r="B479" s="88">
        <v>474</v>
      </c>
      <c r="C479" s="83" t="s">
        <v>3676</v>
      </c>
      <c r="D479" s="83" t="s">
        <v>3185</v>
      </c>
      <c r="E479" s="83" t="s">
        <v>3187</v>
      </c>
      <c r="F479" s="83" t="s">
        <v>3181</v>
      </c>
      <c r="G479" s="83" t="s">
        <v>3182</v>
      </c>
      <c r="H479" s="83" t="s">
        <v>3180</v>
      </c>
      <c r="I479" s="83" t="s">
        <v>3184</v>
      </c>
      <c r="J479" s="83" t="s">
        <v>3192</v>
      </c>
      <c r="K479" s="89" t="s">
        <v>3189</v>
      </c>
    </row>
    <row r="480" spans="2:11" x14ac:dyDescent="0.25">
      <c r="B480" s="88">
        <v>475</v>
      </c>
      <c r="C480" s="83" t="s">
        <v>3677</v>
      </c>
      <c r="D480" s="83" t="s">
        <v>3185</v>
      </c>
      <c r="E480" s="83" t="s">
        <v>3187</v>
      </c>
      <c r="F480" s="83" t="s">
        <v>3181</v>
      </c>
      <c r="G480" s="83" t="s">
        <v>3182</v>
      </c>
      <c r="H480" s="83" t="s">
        <v>3180</v>
      </c>
      <c r="I480" s="83" t="s">
        <v>3184</v>
      </c>
      <c r="J480" s="83" t="s">
        <v>3189</v>
      </c>
      <c r="K480" s="89" t="s">
        <v>3191</v>
      </c>
    </row>
    <row r="481" spans="2:11" x14ac:dyDescent="0.25">
      <c r="B481" s="88">
        <v>476</v>
      </c>
      <c r="C481" s="83" t="s">
        <v>3678</v>
      </c>
      <c r="D481" s="83" t="s">
        <v>3185</v>
      </c>
      <c r="E481" s="83" t="s">
        <v>3187</v>
      </c>
      <c r="F481" s="83" t="s">
        <v>3181</v>
      </c>
      <c r="G481" s="83" t="s">
        <v>3182</v>
      </c>
      <c r="H481" s="83" t="s">
        <v>3180</v>
      </c>
      <c r="I481" s="83" t="s">
        <v>3184</v>
      </c>
      <c r="J481" s="83" t="s">
        <v>3189</v>
      </c>
      <c r="K481" s="89" t="s">
        <v>3190</v>
      </c>
    </row>
    <row r="482" spans="2:11" x14ac:dyDescent="0.25">
      <c r="B482" s="88">
        <v>477</v>
      </c>
      <c r="C482" s="83" t="s">
        <v>3679</v>
      </c>
      <c r="D482" s="83" t="s">
        <v>3188</v>
      </c>
      <c r="E482" s="83" t="s">
        <v>3187</v>
      </c>
      <c r="F482" s="83" t="s">
        <v>3181</v>
      </c>
      <c r="G482" s="83" t="s">
        <v>3182</v>
      </c>
      <c r="H482" s="83" t="s">
        <v>3180</v>
      </c>
      <c r="I482" s="83" t="s">
        <v>3184</v>
      </c>
      <c r="J482" s="83" t="s">
        <v>3192</v>
      </c>
      <c r="K482" s="89" t="s">
        <v>3185</v>
      </c>
    </row>
    <row r="483" spans="2:11" x14ac:dyDescent="0.25">
      <c r="B483" s="88">
        <v>478</v>
      </c>
      <c r="C483" s="83" t="s">
        <v>3680</v>
      </c>
      <c r="D483" s="83" t="s">
        <v>3188</v>
      </c>
      <c r="E483" s="83" t="s">
        <v>3187</v>
      </c>
      <c r="F483" s="83" t="s">
        <v>3181</v>
      </c>
      <c r="G483" s="83" t="s">
        <v>3182</v>
      </c>
      <c r="H483" s="83" t="s">
        <v>3180</v>
      </c>
      <c r="I483" s="83" t="s">
        <v>3184</v>
      </c>
      <c r="J483" s="83" t="s">
        <v>3185</v>
      </c>
      <c r="K483" s="89" t="s">
        <v>3191</v>
      </c>
    </row>
    <row r="484" spans="2:11" x14ac:dyDescent="0.25">
      <c r="B484" s="88">
        <v>479</v>
      </c>
      <c r="C484" s="83" t="s">
        <v>3681</v>
      </c>
      <c r="D484" s="83" t="s">
        <v>3188</v>
      </c>
      <c r="E484" s="83" t="s">
        <v>3187</v>
      </c>
      <c r="F484" s="83" t="s">
        <v>3181</v>
      </c>
      <c r="G484" s="83" t="s">
        <v>3182</v>
      </c>
      <c r="H484" s="83" t="s">
        <v>3180</v>
      </c>
      <c r="I484" s="83" t="s">
        <v>3184</v>
      </c>
      <c r="J484" s="83" t="s">
        <v>3185</v>
      </c>
      <c r="K484" s="89" t="s">
        <v>3190</v>
      </c>
    </row>
    <row r="485" spans="2:11" x14ac:dyDescent="0.25">
      <c r="B485" s="88">
        <v>480</v>
      </c>
      <c r="C485" s="83" t="s">
        <v>3682</v>
      </c>
      <c r="D485" s="83" t="s">
        <v>3188</v>
      </c>
      <c r="E485" s="83" t="s">
        <v>3187</v>
      </c>
      <c r="F485" s="83" t="s">
        <v>3181</v>
      </c>
      <c r="G485" s="83" t="s">
        <v>3182</v>
      </c>
      <c r="H485" s="83" t="s">
        <v>3180</v>
      </c>
      <c r="I485" s="83" t="s">
        <v>3184</v>
      </c>
      <c r="J485" s="83" t="s">
        <v>3185</v>
      </c>
      <c r="K485" s="89" t="s">
        <v>3189</v>
      </c>
    </row>
    <row r="486" spans="2:11" x14ac:dyDescent="0.25">
      <c r="B486" s="88">
        <v>481</v>
      </c>
      <c r="C486" s="83" t="s">
        <v>3683</v>
      </c>
      <c r="D486" s="83" t="s">
        <v>3182</v>
      </c>
      <c r="E486" s="83" t="s">
        <v>3185</v>
      </c>
      <c r="F486" s="83" t="s">
        <v>3181</v>
      </c>
      <c r="G486" s="83" t="s">
        <v>3184</v>
      </c>
      <c r="H486" s="83" t="s">
        <v>3180</v>
      </c>
      <c r="I486" s="83" t="s">
        <v>3186</v>
      </c>
      <c r="J486" s="83" t="s">
        <v>3192</v>
      </c>
      <c r="K486" s="89" t="s">
        <v>3191</v>
      </c>
    </row>
    <row r="487" spans="2:11" x14ac:dyDescent="0.25">
      <c r="B487" s="88">
        <v>482</v>
      </c>
      <c r="C487" s="83" t="s">
        <v>3684</v>
      </c>
      <c r="D487" s="83" t="s">
        <v>3182</v>
      </c>
      <c r="E487" s="83" t="s">
        <v>3190</v>
      </c>
      <c r="F487" s="83" t="s">
        <v>3181</v>
      </c>
      <c r="G487" s="83" t="s">
        <v>3184</v>
      </c>
      <c r="H487" s="83" t="s">
        <v>3180</v>
      </c>
      <c r="I487" s="83" t="s">
        <v>3186</v>
      </c>
      <c r="J487" s="83" t="s">
        <v>3192</v>
      </c>
      <c r="K487" s="89" t="s">
        <v>3185</v>
      </c>
    </row>
    <row r="488" spans="2:11" x14ac:dyDescent="0.25">
      <c r="B488" s="88">
        <v>483</v>
      </c>
      <c r="C488" s="83" t="s">
        <v>3685</v>
      </c>
      <c r="D488" s="83" t="s">
        <v>3182</v>
      </c>
      <c r="E488" s="83" t="s">
        <v>3190</v>
      </c>
      <c r="F488" s="83" t="s">
        <v>3181</v>
      </c>
      <c r="G488" s="83" t="s">
        <v>3184</v>
      </c>
      <c r="H488" s="83" t="s">
        <v>3180</v>
      </c>
      <c r="I488" s="83" t="s">
        <v>3186</v>
      </c>
      <c r="J488" s="83" t="s">
        <v>3185</v>
      </c>
      <c r="K488" s="89" t="s">
        <v>3191</v>
      </c>
    </row>
    <row r="489" spans="2:11" x14ac:dyDescent="0.25">
      <c r="B489" s="88">
        <v>484</v>
      </c>
      <c r="C489" s="83" t="s">
        <v>3686</v>
      </c>
      <c r="D489" s="83" t="s">
        <v>3182</v>
      </c>
      <c r="E489" s="83" t="s">
        <v>3185</v>
      </c>
      <c r="F489" s="83" t="s">
        <v>3181</v>
      </c>
      <c r="G489" s="83" t="s">
        <v>3184</v>
      </c>
      <c r="H489" s="83" t="s">
        <v>3180</v>
      </c>
      <c r="I489" s="83" t="s">
        <v>3186</v>
      </c>
      <c r="J489" s="83" t="s">
        <v>3192</v>
      </c>
      <c r="K489" s="89" t="s">
        <v>3189</v>
      </c>
    </row>
    <row r="490" spans="2:11" x14ac:dyDescent="0.25">
      <c r="B490" s="88">
        <v>485</v>
      </c>
      <c r="C490" s="83" t="s">
        <v>3687</v>
      </c>
      <c r="D490" s="83" t="s">
        <v>3182</v>
      </c>
      <c r="E490" s="83" t="s">
        <v>3185</v>
      </c>
      <c r="F490" s="83" t="s">
        <v>3181</v>
      </c>
      <c r="G490" s="83" t="s">
        <v>3184</v>
      </c>
      <c r="H490" s="83" t="s">
        <v>3180</v>
      </c>
      <c r="I490" s="83" t="s">
        <v>3186</v>
      </c>
      <c r="J490" s="83" t="s">
        <v>3189</v>
      </c>
      <c r="K490" s="89" t="s">
        <v>3191</v>
      </c>
    </row>
    <row r="491" spans="2:11" x14ac:dyDescent="0.25">
      <c r="B491" s="88">
        <v>486</v>
      </c>
      <c r="C491" s="83" t="s">
        <v>3688</v>
      </c>
      <c r="D491" s="83" t="s">
        <v>3182</v>
      </c>
      <c r="E491" s="83" t="s">
        <v>3190</v>
      </c>
      <c r="F491" s="83" t="s">
        <v>3181</v>
      </c>
      <c r="G491" s="83" t="s">
        <v>3184</v>
      </c>
      <c r="H491" s="83" t="s">
        <v>3180</v>
      </c>
      <c r="I491" s="83" t="s">
        <v>3186</v>
      </c>
      <c r="J491" s="83" t="s">
        <v>3185</v>
      </c>
      <c r="K491" s="89" t="s">
        <v>3189</v>
      </c>
    </row>
    <row r="492" spans="2:11" x14ac:dyDescent="0.25">
      <c r="B492" s="88">
        <v>487</v>
      </c>
      <c r="C492" s="83" t="s">
        <v>3689</v>
      </c>
      <c r="D492" s="83" t="s">
        <v>3188</v>
      </c>
      <c r="E492" s="83" t="s">
        <v>3186</v>
      </c>
      <c r="F492" s="83" t="s">
        <v>3181</v>
      </c>
      <c r="G492" s="83" t="s">
        <v>3182</v>
      </c>
      <c r="H492" s="83" t="s">
        <v>3180</v>
      </c>
      <c r="I492" s="83" t="s">
        <v>3184</v>
      </c>
      <c r="J492" s="83" t="s">
        <v>3192</v>
      </c>
      <c r="K492" s="89" t="s">
        <v>3185</v>
      </c>
    </row>
    <row r="493" spans="2:11" x14ac:dyDescent="0.25">
      <c r="B493" s="88">
        <v>488</v>
      </c>
      <c r="C493" s="83" t="s">
        <v>3690</v>
      </c>
      <c r="D493" s="83" t="s">
        <v>3188</v>
      </c>
      <c r="E493" s="83" t="s">
        <v>3185</v>
      </c>
      <c r="F493" s="83" t="s">
        <v>3181</v>
      </c>
      <c r="G493" s="83" t="s">
        <v>3182</v>
      </c>
      <c r="H493" s="83" t="s">
        <v>3180</v>
      </c>
      <c r="I493" s="83" t="s">
        <v>3186</v>
      </c>
      <c r="J493" s="83" t="s">
        <v>3184</v>
      </c>
      <c r="K493" s="89" t="s">
        <v>3191</v>
      </c>
    </row>
    <row r="494" spans="2:11" x14ac:dyDescent="0.25">
      <c r="B494" s="88">
        <v>489</v>
      </c>
      <c r="C494" s="83" t="s">
        <v>3691</v>
      </c>
      <c r="D494" s="83" t="s">
        <v>3188</v>
      </c>
      <c r="E494" s="83" t="s">
        <v>3190</v>
      </c>
      <c r="F494" s="83" t="s">
        <v>3181</v>
      </c>
      <c r="G494" s="83" t="s">
        <v>3182</v>
      </c>
      <c r="H494" s="83" t="s">
        <v>3180</v>
      </c>
      <c r="I494" s="83" t="s">
        <v>3186</v>
      </c>
      <c r="J494" s="83" t="s">
        <v>3184</v>
      </c>
      <c r="K494" s="89" t="s">
        <v>3185</v>
      </c>
    </row>
    <row r="495" spans="2:11" x14ac:dyDescent="0.25">
      <c r="B495" s="88">
        <v>490</v>
      </c>
      <c r="C495" s="83" t="s">
        <v>3692</v>
      </c>
      <c r="D495" s="83" t="s">
        <v>3188</v>
      </c>
      <c r="E495" s="83" t="s">
        <v>3185</v>
      </c>
      <c r="F495" s="83" t="s">
        <v>3181</v>
      </c>
      <c r="G495" s="83" t="s">
        <v>3182</v>
      </c>
      <c r="H495" s="83" t="s">
        <v>3180</v>
      </c>
      <c r="I495" s="83" t="s">
        <v>3186</v>
      </c>
      <c r="J495" s="83" t="s">
        <v>3184</v>
      </c>
      <c r="K495" s="89" t="s">
        <v>3189</v>
      </c>
    </row>
    <row r="496" spans="2:11" x14ac:dyDescent="0.25">
      <c r="B496" s="88">
        <v>491</v>
      </c>
      <c r="C496" s="83" t="s">
        <v>3693</v>
      </c>
      <c r="D496" s="83" t="s">
        <v>3182</v>
      </c>
      <c r="E496" s="83" t="s">
        <v>3187</v>
      </c>
      <c r="F496" s="83" t="s">
        <v>3181</v>
      </c>
      <c r="G496" s="83" t="s">
        <v>3184</v>
      </c>
      <c r="H496" s="83" t="s">
        <v>3180</v>
      </c>
      <c r="I496" s="83" t="s">
        <v>3186</v>
      </c>
      <c r="J496" s="83" t="s">
        <v>3192</v>
      </c>
      <c r="K496" s="89" t="s">
        <v>3185</v>
      </c>
    </row>
    <row r="497" spans="2:11" x14ac:dyDescent="0.25">
      <c r="B497" s="88">
        <v>492</v>
      </c>
      <c r="C497" s="83" t="s">
        <v>3694</v>
      </c>
      <c r="D497" s="83" t="s">
        <v>3182</v>
      </c>
      <c r="E497" s="83" t="s">
        <v>3187</v>
      </c>
      <c r="F497" s="83" t="s">
        <v>3181</v>
      </c>
      <c r="G497" s="83" t="s">
        <v>3184</v>
      </c>
      <c r="H497" s="83" t="s">
        <v>3180</v>
      </c>
      <c r="I497" s="83" t="s">
        <v>3186</v>
      </c>
      <c r="J497" s="83" t="s">
        <v>3185</v>
      </c>
      <c r="K497" s="89" t="s">
        <v>3191</v>
      </c>
    </row>
    <row r="498" spans="2:11" x14ac:dyDescent="0.25">
      <c r="B498" s="88">
        <v>493</v>
      </c>
      <c r="C498" s="83" t="s">
        <v>3695</v>
      </c>
      <c r="D498" s="83" t="s">
        <v>3182</v>
      </c>
      <c r="E498" s="83" t="s">
        <v>3187</v>
      </c>
      <c r="F498" s="83" t="s">
        <v>3181</v>
      </c>
      <c r="G498" s="83" t="s">
        <v>3184</v>
      </c>
      <c r="H498" s="83" t="s">
        <v>3180</v>
      </c>
      <c r="I498" s="83" t="s">
        <v>3186</v>
      </c>
      <c r="J498" s="83" t="s">
        <v>3185</v>
      </c>
      <c r="K498" s="89" t="s">
        <v>3190</v>
      </c>
    </row>
    <row r="499" spans="2:11" x14ac:dyDescent="0.25">
      <c r="B499" s="88">
        <v>494</v>
      </c>
      <c r="C499" s="83" t="s">
        <v>3696</v>
      </c>
      <c r="D499" s="83" t="s">
        <v>3182</v>
      </c>
      <c r="E499" s="83" t="s">
        <v>3187</v>
      </c>
      <c r="F499" s="83" t="s">
        <v>3181</v>
      </c>
      <c r="G499" s="83" t="s">
        <v>3184</v>
      </c>
      <c r="H499" s="83" t="s">
        <v>3180</v>
      </c>
      <c r="I499" s="83" t="s">
        <v>3186</v>
      </c>
      <c r="J499" s="83" t="s">
        <v>3185</v>
      </c>
      <c r="K499" s="89" t="s">
        <v>3189</v>
      </c>
    </row>
    <row r="500" spans="2:11" x14ac:dyDescent="0.25">
      <c r="B500" s="90">
        <v>495</v>
      </c>
      <c r="C500" s="91" t="s">
        <v>3697</v>
      </c>
      <c r="D500" s="91" t="s">
        <v>3188</v>
      </c>
      <c r="E500" s="91" t="s">
        <v>3187</v>
      </c>
      <c r="F500" s="91" t="s">
        <v>3181</v>
      </c>
      <c r="G500" s="91" t="s">
        <v>3182</v>
      </c>
      <c r="H500" s="91" t="s">
        <v>3180</v>
      </c>
      <c r="I500" s="91" t="s">
        <v>3186</v>
      </c>
      <c r="J500" s="91" t="s">
        <v>3184</v>
      </c>
      <c r="K500" s="92" t="s">
        <v>3185</v>
      </c>
    </row>
  </sheetData>
  <sheetProtection algorithmName="SHA-512" hashValue="FHkYqE1KRwpfItahAI+PyAqIEBFe00md94UJlKhZTc+gRAXJFkEcgG7Y1df/LdUR9P3ECUX8c0kHSRxbShUUkw==" saltValue="QVZA9U78x70/ucRI9CHkdw==" spinCount="100000" sheet="1" objects="1" scenarios="1"/>
  <protectedRanges>
    <protectedRange sqref="B3" name="Range1"/>
  </protectedRanges>
  <conditionalFormatting sqref="B6:K500">
    <cfRule type="expression" dxfId="0" priority="1">
      <formula>IF($B$3=$B6,1,0)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T</vt:lpstr>
      <vt:lpstr>Settings</vt:lpstr>
      <vt:lpstr>2026 World Cup</vt:lpstr>
      <vt:lpstr>3rd places</vt:lpstr>
      <vt:lpstr>db_fifarank</vt:lpstr>
      <vt:lpstr>gmt_delta</vt:lpstr>
      <vt:lpstr>group_round_completed</vt:lpstr>
      <vt:lpstr>lang</vt:lpstr>
      <vt:lpstr>lang_list</vt:lpstr>
      <vt:lpstr>my_team</vt:lpstr>
      <vt:lpstr>T</vt:lpstr>
      <vt:lpstr>teams</vt:lpstr>
    </vt:vector>
  </TitlesOfParts>
  <Manager/>
  <Company>www.excely.com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FIFA World Cup Schedule</dc:title>
  <dc:subject/>
  <dc:creator>Denys Kozyr</dc:creator>
  <cp:keywords>fifa;world cup;schedule;spreadsheet</cp:keywords>
  <dc:description/>
  <cp:lastModifiedBy>Andrew Burgess</cp:lastModifiedBy>
  <cp:revision/>
  <dcterms:created xsi:type="dcterms:W3CDTF">2017-12-27T19:32:51Z</dcterms:created>
  <dcterms:modified xsi:type="dcterms:W3CDTF">2026-07-20T12:13:07Z</dcterms:modified>
  <cp:category>Sports</cp:category>
  <cp:contentStatus/>
</cp:coreProperties>
</file>